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993BB9F3-FA1E-4951-BFAE-F2ECB73C367C}" xr6:coauthVersionLast="47" xr6:coauthVersionMax="47" xr10:uidLastSave="{00000000-0000-0000-0000-000000000000}"/>
  <bookViews>
    <workbookView xWindow="645" yWindow="135" windowWidth="26670" windowHeight="17175" xr2:uid="{F15B7BA8-7CCF-4912-B6CC-2470F37FF660}"/>
  </bookViews>
  <sheets>
    <sheet name="Титул" sheetId="11" r:id="rId1"/>
    <sheet name="Сочетания клавиш" sheetId="13" r:id="rId2"/>
    <sheet name="Затратный" sheetId="8" r:id="rId3"/>
    <sheet name="Сравнительный" sheetId="9" r:id="rId4"/>
    <sheet name="Доходный" sheetId="10"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93" i="8" l="1"/>
  <c r="C2634" i="8"/>
  <c r="C1042" i="9"/>
  <c r="C568" i="10"/>
  <c r="C2760" i="8"/>
  <c r="D2734" i="8"/>
  <c r="E987" i="9" l="1"/>
  <c r="E988" i="9"/>
  <c r="E989" i="9"/>
  <c r="E990" i="9"/>
  <c r="C993" i="9" l="1" a="1"/>
  <c r="C993" i="9" s="1"/>
  <c r="D993" i="9" l="1"/>
  <c r="E993" i="9"/>
  <c r="D723" i="10"/>
  <c r="E723" i="10" s="1"/>
  <c r="F723" i="10" s="1"/>
  <c r="G723" i="10" s="1"/>
  <c r="H723" i="10" s="1"/>
  <c r="C721" i="10"/>
  <c r="D721" i="10" s="1"/>
  <c r="E721" i="10" s="1"/>
  <c r="F721" i="10" s="1"/>
  <c r="G721" i="10" s="1"/>
  <c r="H721" i="10" s="1"/>
  <c r="D716" i="10"/>
  <c r="D718" i="10" s="1"/>
  <c r="H715" i="10"/>
  <c r="G715" i="10"/>
  <c r="F715" i="10"/>
  <c r="E715" i="10"/>
  <c r="D715" i="10"/>
  <c r="C715" i="10"/>
  <c r="C718" i="10" s="1"/>
  <c r="G722" i="10" l="1"/>
  <c r="D722" i="10"/>
  <c r="D725" i="10" s="1"/>
  <c r="E722" i="10"/>
  <c r="F722" i="10"/>
  <c r="H722" i="10"/>
  <c r="E716" i="10"/>
  <c r="C722" i="10"/>
  <c r="C725" i="10" s="1"/>
  <c r="H689" i="10"/>
  <c r="G689" i="10"/>
  <c r="F689" i="10"/>
  <c r="E689" i="10"/>
  <c r="D689" i="10"/>
  <c r="F716" i="10" l="1"/>
  <c r="E718" i="10"/>
  <c r="E725" i="10" s="1"/>
  <c r="F694" i="10"/>
  <c r="E694" i="10"/>
  <c r="D694" i="10"/>
  <c r="H686" i="10"/>
  <c r="G686" i="10"/>
  <c r="F686" i="10"/>
  <c r="E686" i="10"/>
  <c r="D686" i="10"/>
  <c r="D685" i="10" s="1"/>
  <c r="D692" i="10"/>
  <c r="E692" i="10" s="1"/>
  <c r="F692" i="10" s="1"/>
  <c r="G692" i="10" s="1"/>
  <c r="H692" i="10" s="1"/>
  <c r="C690" i="10"/>
  <c r="D690" i="10" s="1"/>
  <c r="E690" i="10" s="1"/>
  <c r="F690" i="10" s="1"/>
  <c r="G690" i="10" s="1"/>
  <c r="H690" i="10" s="1"/>
  <c r="H684" i="10"/>
  <c r="G684" i="10"/>
  <c r="F684" i="10"/>
  <c r="E684" i="10"/>
  <c r="D684" i="10"/>
  <c r="C684" i="10"/>
  <c r="C687" i="10" s="1"/>
  <c r="G716" i="10" l="1"/>
  <c r="F718" i="10"/>
  <c r="F725" i="10" s="1"/>
  <c r="F693" i="10"/>
  <c r="D691" i="10"/>
  <c r="F691" i="10"/>
  <c r="G691" i="10"/>
  <c r="H691" i="10"/>
  <c r="E691" i="10"/>
  <c r="D687" i="10"/>
  <c r="E685" i="10"/>
  <c r="C691" i="10"/>
  <c r="C695" i="10" s="1"/>
  <c r="C697" i="10" s="1"/>
  <c r="D664" i="10"/>
  <c r="E664" i="10" s="1"/>
  <c r="F664" i="10" s="1"/>
  <c r="G664" i="10" s="1"/>
  <c r="H664" i="10" s="1"/>
  <c r="C662" i="10"/>
  <c r="D662" i="10" s="1"/>
  <c r="E662" i="10" s="1"/>
  <c r="D657" i="10"/>
  <c r="E657" i="10" s="1"/>
  <c r="H656" i="10"/>
  <c r="G656" i="10"/>
  <c r="F656" i="10"/>
  <c r="E656" i="10"/>
  <c r="D656" i="10"/>
  <c r="C656" i="10"/>
  <c r="C626" i="10"/>
  <c r="C1041" i="9"/>
  <c r="C1043" i="9" s="1"/>
  <c r="D1028" i="9"/>
  <c r="D1029" i="9" s="1"/>
  <c r="C1028" i="9"/>
  <c r="C1029" i="9" s="1"/>
  <c r="D1018" i="9"/>
  <c r="D1019" i="9" s="1"/>
  <c r="C1018" i="9"/>
  <c r="C1019" i="9" s="1"/>
  <c r="D1030" i="9" l="1"/>
  <c r="D1032" i="9" s="1"/>
  <c r="H716" i="10"/>
  <c r="H718" i="10" s="1"/>
  <c r="H725" i="10" s="1"/>
  <c r="H727" i="10" s="1"/>
  <c r="G718" i="10"/>
  <c r="G725" i="10" s="1"/>
  <c r="G727" i="10" s="1"/>
  <c r="D695" i="10"/>
  <c r="D697" i="10" s="1"/>
  <c r="C663" i="10"/>
  <c r="D659" i="10"/>
  <c r="D663" i="10"/>
  <c r="C659" i="10"/>
  <c r="E687" i="10"/>
  <c r="E695" i="10" s="1"/>
  <c r="E697" i="10" s="1"/>
  <c r="F685" i="10"/>
  <c r="F657" i="10"/>
  <c r="E659" i="10"/>
  <c r="F662" i="10"/>
  <c r="E663" i="10"/>
  <c r="D1020" i="9"/>
  <c r="E962" i="9"/>
  <c r="E954" i="9"/>
  <c r="D903" i="9"/>
  <c r="D954" i="9"/>
  <c r="E952" i="9"/>
  <c r="E950" i="9"/>
  <c r="I727" i="10" l="1"/>
  <c r="E698" i="10"/>
  <c r="C666" i="10"/>
  <c r="D666" i="10"/>
  <c r="E666" i="10"/>
  <c r="E668" i="10" s="1"/>
  <c r="G685" i="10"/>
  <c r="F687" i="10"/>
  <c r="F695" i="10" s="1"/>
  <c r="F697" i="10" s="1"/>
  <c r="G662" i="10"/>
  <c r="F663" i="10"/>
  <c r="G657" i="10"/>
  <c r="F659" i="10"/>
  <c r="E967" i="9"/>
  <c r="D967" i="9"/>
  <c r="D963" i="9"/>
  <c r="C963" i="9"/>
  <c r="E963" i="9"/>
  <c r="H958" i="9"/>
  <c r="D956" i="9" s="1"/>
  <c r="H956" i="9"/>
  <c r="C956" i="9" s="1"/>
  <c r="E956" i="9"/>
  <c r="D913" i="9"/>
  <c r="C913" i="9"/>
  <c r="C912" i="9"/>
  <c r="E905" i="9"/>
  <c r="H905" i="9"/>
  <c r="C905" i="9" s="1"/>
  <c r="F666" i="10" l="1"/>
  <c r="F668" i="10" s="1"/>
  <c r="H685" i="10"/>
  <c r="H687" i="10" s="1"/>
  <c r="H695" i="10" s="1"/>
  <c r="H697" i="10" s="1"/>
  <c r="G687" i="10"/>
  <c r="G695" i="10" s="1"/>
  <c r="G697" i="10" s="1"/>
  <c r="G659" i="10"/>
  <c r="H657" i="10"/>
  <c r="H659" i="10" s="1"/>
  <c r="H662" i="10"/>
  <c r="H663" i="10" s="1"/>
  <c r="G663" i="10"/>
  <c r="D964" i="9"/>
  <c r="E957" i="9"/>
  <c r="D957" i="9"/>
  <c r="E964" i="9"/>
  <c r="E917" i="9"/>
  <c r="D917" i="9"/>
  <c r="E912" i="9"/>
  <c r="E911" i="9" s="1"/>
  <c r="E913" i="9" s="1"/>
  <c r="D912" i="9"/>
  <c r="H907" i="9"/>
  <c r="D905" i="9" s="1"/>
  <c r="E899" i="9"/>
  <c r="D872" i="9"/>
  <c r="D873" i="9" s="1"/>
  <c r="C3163" i="8"/>
  <c r="C3164" i="8" s="1"/>
  <c r="E3147" i="8"/>
  <c r="C3145" i="8"/>
  <c r="C3146" i="8" s="1"/>
  <c r="D3144" i="8"/>
  <c r="D3142" i="8"/>
  <c r="D3145" i="8" s="1"/>
  <c r="D3146" i="8" s="1"/>
  <c r="D3141" i="8"/>
  <c r="E3140" i="8"/>
  <c r="C3140" i="8"/>
  <c r="C3138" i="8"/>
  <c r="D3122" i="8"/>
  <c r="E3117" i="8"/>
  <c r="E3125" i="8" s="1"/>
  <c r="C3114" i="8"/>
  <c r="C3115" i="8" s="1"/>
  <c r="C3124" i="8" s="1"/>
  <c r="D3113" i="8"/>
  <c r="D3111" i="8"/>
  <c r="D3114" i="8" s="1"/>
  <c r="D3115" i="8" s="1"/>
  <c r="D3124" i="8" s="1"/>
  <c r="D3110" i="8"/>
  <c r="D3117" i="8" s="1"/>
  <c r="E3109" i="8"/>
  <c r="E3122" i="8" s="1"/>
  <c r="C3109" i="8"/>
  <c r="C3122" i="8" s="1"/>
  <c r="C3107" i="8"/>
  <c r="C3117" i="8" s="1"/>
  <c r="C3125" i="8" s="1"/>
  <c r="C3088" i="8"/>
  <c r="C3089" i="8" s="1"/>
  <c r="C3084" i="8"/>
  <c r="C3085" i="8" s="1"/>
  <c r="C3081" i="8"/>
  <c r="C3082" i="8" s="1"/>
  <c r="C3073" i="8"/>
  <c r="C3067" i="8"/>
  <c r="C3087" i="8" s="1"/>
  <c r="C3049" i="8"/>
  <c r="C3042" i="8"/>
  <c r="C3037" i="8"/>
  <c r="C3032" i="8"/>
  <c r="C3078" i="8" l="1"/>
  <c r="C3093" i="8" s="1"/>
  <c r="G666" i="10"/>
  <c r="G668" i="10" s="1"/>
  <c r="I697" i="10"/>
  <c r="H666" i="10"/>
  <c r="H668" i="10" s="1"/>
  <c r="E968" i="9"/>
  <c r="E971" i="9" s="1"/>
  <c r="D968" i="9"/>
  <c r="D971" i="9" s="1"/>
  <c r="C971" i="9" s="1"/>
  <c r="D914" i="9"/>
  <c r="E914" i="9"/>
  <c r="E906" i="9"/>
  <c r="D906" i="9"/>
  <c r="C3090" i="8"/>
  <c r="C3091" i="8" s="1"/>
  <c r="C3095" i="8" s="1"/>
  <c r="C3147" i="8"/>
  <c r="C3148" i="8" s="1"/>
  <c r="C3149" i="8" s="1"/>
  <c r="D3147" i="8"/>
  <c r="D3148" i="8" s="1"/>
  <c r="D3149" i="8" s="1"/>
  <c r="C3144" i="8"/>
  <c r="D3125" i="8"/>
  <c r="D3126" i="8" s="1"/>
  <c r="E3114" i="8"/>
  <c r="E3115" i="8" s="1"/>
  <c r="E3124" i="8" s="1"/>
  <c r="C3126" i="8"/>
  <c r="E3126" i="8"/>
  <c r="E3113" i="8"/>
  <c r="E3148" i="8"/>
  <c r="C3097" i="8"/>
  <c r="C3113" i="8"/>
  <c r="E3144" i="8"/>
  <c r="E3145" i="8"/>
  <c r="E3146" i="8" s="1"/>
  <c r="D3123" i="8"/>
  <c r="D3116" i="8"/>
  <c r="C3116" i="8"/>
  <c r="C3123" i="8"/>
  <c r="C3118" i="8"/>
  <c r="C3119" i="8" s="1"/>
  <c r="C3120" i="8" s="1"/>
  <c r="D3118" i="8"/>
  <c r="D3119" i="8" s="1"/>
  <c r="D3120" i="8" s="1"/>
  <c r="E3118" i="8"/>
  <c r="D3017" i="8"/>
  <c r="E3012" i="8"/>
  <c r="E3020" i="8" s="1"/>
  <c r="C3009" i="8"/>
  <c r="C3010" i="8" s="1"/>
  <c r="D3008" i="8"/>
  <c r="D3006" i="8"/>
  <c r="D3009" i="8" s="1"/>
  <c r="D3010" i="8" s="1"/>
  <c r="D3005" i="8"/>
  <c r="E3004" i="8"/>
  <c r="E3017" i="8" s="1"/>
  <c r="C3004" i="8"/>
  <c r="C3017" i="8" s="1"/>
  <c r="C3002" i="8"/>
  <c r="C3012" i="8" s="1"/>
  <c r="C2991" i="8"/>
  <c r="C2990" i="8"/>
  <c r="C2992" i="8" s="1"/>
  <c r="C2989" i="8"/>
  <c r="C2950" i="8"/>
  <c r="C2944" i="8"/>
  <c r="C2964" i="8" s="1"/>
  <c r="C2965" i="8"/>
  <c r="C2966" i="8" s="1"/>
  <c r="C2961" i="8"/>
  <c r="C2962" i="8" s="1"/>
  <c r="C2958" i="8"/>
  <c r="C2959" i="8" s="1"/>
  <c r="C2926" i="8"/>
  <c r="C2919" i="8"/>
  <c r="C2914" i="8"/>
  <c r="C2909" i="8"/>
  <c r="C2900" i="8"/>
  <c r="C2895" i="8"/>
  <c r="C2894" i="8"/>
  <c r="C2893" i="8"/>
  <c r="C2891" i="8"/>
  <c r="C2889" i="8"/>
  <c r="C2887" i="8"/>
  <c r="C2886" i="8"/>
  <c r="C2884" i="8"/>
  <c r="C2879" i="8"/>
  <c r="C2880" i="8" s="1"/>
  <c r="C2881" i="8" s="1"/>
  <c r="C2882" i="8" s="1"/>
  <c r="C2883" i="8" s="1"/>
  <c r="E2773" i="8"/>
  <c r="D2773" i="8"/>
  <c r="C2773" i="8"/>
  <c r="E2772" i="8"/>
  <c r="D2772" i="8"/>
  <c r="C2772" i="8"/>
  <c r="C2839" i="8"/>
  <c r="C2840" i="8" s="1"/>
  <c r="C2838" i="8"/>
  <c r="C2835" i="8"/>
  <c r="C2836" i="8" s="1"/>
  <c r="C2832" i="8"/>
  <c r="C2833" i="8" s="1"/>
  <c r="C2801" i="8"/>
  <c r="C2794" i="8"/>
  <c r="C2789" i="8"/>
  <c r="C2784" i="8"/>
  <c r="D2760" i="8"/>
  <c r="C2752" i="8"/>
  <c r="C2751" i="8"/>
  <c r="C2885" i="8" l="1"/>
  <c r="F3115" i="8"/>
  <c r="C2888" i="8"/>
  <c r="D3012" i="8"/>
  <c r="D3020" i="8" s="1"/>
  <c r="D3021" i="8" s="1"/>
  <c r="E3008" i="8"/>
  <c r="E3149" i="8"/>
  <c r="F3149" i="8" s="1"/>
  <c r="D919" i="9"/>
  <c r="D922" i="9" s="1"/>
  <c r="I668" i="10"/>
  <c r="C972" i="9"/>
  <c r="C973" i="9" s="1"/>
  <c r="E919" i="9"/>
  <c r="E922" i="9" s="1"/>
  <c r="E3116" i="8"/>
  <c r="E3123" i="8"/>
  <c r="F3123" i="8" s="1"/>
  <c r="G3123" i="8" s="1"/>
  <c r="E3119" i="8"/>
  <c r="E3120" i="8" s="1"/>
  <c r="F3120" i="8" s="1"/>
  <c r="C3121" i="8" s="1"/>
  <c r="E3021" i="8"/>
  <c r="C2890" i="8"/>
  <c r="C2892" i="8" s="1"/>
  <c r="E3127" i="8"/>
  <c r="E3130" i="8" s="1"/>
  <c r="D3127" i="8"/>
  <c r="D3130" i="8" s="1"/>
  <c r="C3127" i="8"/>
  <c r="F3124" i="8"/>
  <c r="E3128" i="8" s="1"/>
  <c r="E3129" i="8" s="1"/>
  <c r="C3008" i="8"/>
  <c r="C3013" i="8"/>
  <c r="C3014" i="8" s="1"/>
  <c r="C3018" i="8"/>
  <c r="C3011" i="8"/>
  <c r="C3019" i="8"/>
  <c r="D3018" i="8"/>
  <c r="D3011" i="8"/>
  <c r="D3019" i="8"/>
  <c r="E3009" i="8"/>
  <c r="E3010" i="8" s="1"/>
  <c r="F3010" i="8" s="1"/>
  <c r="E3013" i="8"/>
  <c r="C3020" i="8"/>
  <c r="C3021" i="8" s="1"/>
  <c r="C2896" i="8"/>
  <c r="C2955" i="8"/>
  <c r="C2970" i="8" s="1"/>
  <c r="C2967" i="8"/>
  <c r="C2774" i="8"/>
  <c r="C2775" i="8" s="1"/>
  <c r="C2841" i="8"/>
  <c r="C2848" i="8" s="1"/>
  <c r="C2829" i="8"/>
  <c r="C2844" i="8" s="1"/>
  <c r="C2747" i="8"/>
  <c r="C2749" i="8" s="1"/>
  <c r="C2750" i="8" s="1"/>
  <c r="C2753" i="8" s="1"/>
  <c r="D2761" i="8" s="1"/>
  <c r="D2762" i="8" s="1"/>
  <c r="D2735" i="8"/>
  <c r="E2739" i="8"/>
  <c r="C2739" i="8"/>
  <c r="E2735" i="8"/>
  <c r="C2735" i="8"/>
  <c r="E2734" i="8"/>
  <c r="C2734" i="8"/>
  <c r="E2731" i="8"/>
  <c r="E2733" i="8" s="1"/>
  <c r="C2731" i="8"/>
  <c r="C2733" i="8" s="1"/>
  <c r="D3013" i="8" l="1"/>
  <c r="D3014" i="8" s="1"/>
  <c r="D3015" i="8" s="1"/>
  <c r="F3119" i="8"/>
  <c r="G3119" i="8" s="1"/>
  <c r="C922" i="9"/>
  <c r="C923" i="9"/>
  <c r="C924" i="9" s="1"/>
  <c r="C2897" i="8"/>
  <c r="C2901" i="8" s="1"/>
  <c r="F3127" i="8"/>
  <c r="G3127" i="8" s="1"/>
  <c r="C3130" i="8"/>
  <c r="F3130" i="8" s="1"/>
  <c r="D3121" i="8"/>
  <c r="E3121" i="8"/>
  <c r="C3128" i="8"/>
  <c r="C3129" i="8" s="1"/>
  <c r="D3128" i="8"/>
  <c r="D3129" i="8" s="1"/>
  <c r="C3022" i="8"/>
  <c r="E3018" i="8"/>
  <c r="F3018" i="8" s="1"/>
  <c r="G3018" i="8" s="1"/>
  <c r="E3011" i="8"/>
  <c r="E3014" i="8"/>
  <c r="F3014" i="8" s="1"/>
  <c r="G3014" i="8" s="1"/>
  <c r="E3019" i="8"/>
  <c r="F3019" i="8" s="1"/>
  <c r="D3022" i="8"/>
  <c r="C3015" i="8"/>
  <c r="C2968" i="8"/>
  <c r="C2972" i="8" s="1"/>
  <c r="C2974" i="8" s="1"/>
  <c r="C2976" i="8" s="1"/>
  <c r="E2736" i="8"/>
  <c r="E2738" i="8" s="1"/>
  <c r="C2842" i="8"/>
  <c r="C2846" i="8" s="1"/>
  <c r="E2740" i="8"/>
  <c r="C2736" i="8"/>
  <c r="C2738" i="8" s="1"/>
  <c r="C2740" i="8" s="1"/>
  <c r="D2740" i="8"/>
  <c r="C2696" i="8"/>
  <c r="C2685" i="8"/>
  <c r="D2393" i="8"/>
  <c r="D2345" i="8"/>
  <c r="C2345" i="8"/>
  <c r="D2302" i="8"/>
  <c r="C2302" i="8"/>
  <c r="D2233" i="8"/>
  <c r="C2232" i="8"/>
  <c r="C2233" i="8" s="1"/>
  <c r="E3015" i="8" l="1"/>
  <c r="F3129" i="8"/>
  <c r="C3023" i="8"/>
  <c r="C3024" i="8" s="1"/>
  <c r="D3023" i="8"/>
  <c r="D3024" i="8" s="1"/>
  <c r="F3015" i="8"/>
  <c r="D3016" i="8" s="1"/>
  <c r="E3023" i="8"/>
  <c r="E3024" i="8" s="1"/>
  <c r="E3022" i="8"/>
  <c r="F3022" i="8" s="1"/>
  <c r="G3022" i="8" s="1"/>
  <c r="C2741" i="8"/>
  <c r="C2761" i="8" s="1"/>
  <c r="C2762" i="8" s="1"/>
  <c r="C2763" i="8" s="1"/>
  <c r="E2393" i="8"/>
  <c r="D2394" i="8" s="1"/>
  <c r="D2395" i="8" s="1"/>
  <c r="D2396" i="8" s="1"/>
  <c r="E2345" i="8"/>
  <c r="D2346" i="8" s="1"/>
  <c r="D2347" i="8" s="1"/>
  <c r="D2348" i="8" s="1"/>
  <c r="E2302" i="8"/>
  <c r="D2303" i="8" s="1"/>
  <c r="D2304" i="8" s="1"/>
  <c r="D2305" i="8" s="1"/>
  <c r="E2233" i="8"/>
  <c r="C2234" i="8" s="1"/>
  <c r="C2235" i="8" s="1"/>
  <c r="C2236" i="8" s="1"/>
  <c r="C642" i="10"/>
  <c r="D640" i="10"/>
  <c r="D642" i="10" s="1"/>
  <c r="C632" i="10"/>
  <c r="C614" i="10"/>
  <c r="D612" i="10"/>
  <c r="E612" i="10" s="1"/>
  <c r="E614" i="10" s="1"/>
  <c r="C3016" i="8" l="1"/>
  <c r="E3016" i="8"/>
  <c r="F3024" i="8"/>
  <c r="E640" i="10"/>
  <c r="E642" i="10" s="1"/>
  <c r="C2394" i="8"/>
  <c r="C2395" i="8" s="1"/>
  <c r="C2396" i="8" s="1"/>
  <c r="E2396" i="8" s="1"/>
  <c r="C2346" i="8"/>
  <c r="C2303" i="8"/>
  <c r="D2234" i="8"/>
  <c r="F640" i="10"/>
  <c r="D632" i="10"/>
  <c r="D633" i="10" s="1"/>
  <c r="D614" i="10"/>
  <c r="D615" i="10" s="1"/>
  <c r="E632" i="10"/>
  <c r="F612" i="10"/>
  <c r="F614" i="10" s="1"/>
  <c r="C583" i="10"/>
  <c r="D581" i="10"/>
  <c r="E581" i="10" s="1"/>
  <c r="G566" i="10"/>
  <c r="F566" i="10"/>
  <c r="E566" i="10"/>
  <c r="D566" i="10"/>
  <c r="C566" i="10"/>
  <c r="D863" i="9"/>
  <c r="D866" i="9" s="1"/>
  <c r="C863" i="9"/>
  <c r="C864" i="9"/>
  <c r="E864" i="9"/>
  <c r="E866" i="9" s="1"/>
  <c r="E850" i="9"/>
  <c r="D850" i="9"/>
  <c r="C846" i="9"/>
  <c r="D845" i="9"/>
  <c r="D846" i="9" s="1"/>
  <c r="E845" i="9"/>
  <c r="E846" i="9" s="1"/>
  <c r="E838" i="9"/>
  <c r="H838" i="9"/>
  <c r="D838" i="9" s="1"/>
  <c r="H840" i="9"/>
  <c r="C838" i="9" s="1"/>
  <c r="D835" i="9"/>
  <c r="C835" i="9"/>
  <c r="E831" i="9"/>
  <c r="D831" i="9"/>
  <c r="E633" i="10" l="1"/>
  <c r="C866" i="9"/>
  <c r="E2394" i="8"/>
  <c r="C2347" i="8"/>
  <c r="C2348" i="8" s="1"/>
  <c r="E2348" i="8" s="1"/>
  <c r="E2346" i="8"/>
  <c r="C2304" i="8"/>
  <c r="C2305" i="8" s="1"/>
  <c r="E2305" i="8" s="1"/>
  <c r="E2303" i="8"/>
  <c r="E2234" i="8"/>
  <c r="D2235" i="8"/>
  <c r="D2236" i="8" s="1"/>
  <c r="E2236" i="8" s="1"/>
  <c r="F642" i="10"/>
  <c r="G640" i="10"/>
  <c r="C567" i="10"/>
  <c r="C569" i="10" s="1"/>
  <c r="F632" i="10"/>
  <c r="G612" i="10"/>
  <c r="G614" i="10" s="1"/>
  <c r="E615" i="10"/>
  <c r="F615" i="10"/>
  <c r="E583" i="10"/>
  <c r="F581" i="10"/>
  <c r="D583" i="10"/>
  <c r="E847" i="9"/>
  <c r="D836" i="9"/>
  <c r="D847" i="9"/>
  <c r="E839" i="9"/>
  <c r="D839" i="9"/>
  <c r="E852" i="9" l="1"/>
  <c r="E855" i="9" s="1"/>
  <c r="G642" i="10"/>
  <c r="H640" i="10"/>
  <c r="H642" i="10" s="1"/>
  <c r="C643" i="10" s="1"/>
  <c r="G632" i="10"/>
  <c r="F633" i="10"/>
  <c r="H612" i="10"/>
  <c r="H614" i="10" s="1"/>
  <c r="D584" i="10"/>
  <c r="E584" i="10"/>
  <c r="G581" i="10"/>
  <c r="F583" i="10"/>
  <c r="D852" i="9"/>
  <c r="D855" i="9" s="1"/>
  <c r="C856" i="9" l="1"/>
  <c r="C855" i="9"/>
  <c r="H632" i="10"/>
  <c r="G633" i="10"/>
  <c r="I612" i="10"/>
  <c r="I614" i="10" s="1"/>
  <c r="G615" i="10"/>
  <c r="F584" i="10"/>
  <c r="H581" i="10"/>
  <c r="G583" i="10"/>
  <c r="G797" i="9"/>
  <c r="I797" i="9" s="1"/>
  <c r="G798" i="9"/>
  <c r="I798" i="9" s="1"/>
  <c r="G799" i="9"/>
  <c r="I799" i="9" s="1"/>
  <c r="C803" i="9" l="1" a="1"/>
  <c r="C803" i="9" s="1"/>
  <c r="C804" i="9" s="1"/>
  <c r="I800" i="9"/>
  <c r="I632" i="10"/>
  <c r="I633" i="10" s="1"/>
  <c r="H633" i="10"/>
  <c r="I615" i="10"/>
  <c r="H615" i="10"/>
  <c r="G584" i="10"/>
  <c r="H583" i="10"/>
  <c r="I581" i="10"/>
  <c r="C788" i="9"/>
  <c r="C789" i="9" s="1"/>
  <c r="C786" i="9"/>
  <c r="C787" i="9" s="1"/>
  <c r="C776" i="9"/>
  <c r="C777" i="9" s="1"/>
  <c r="C778" i="9" s="1"/>
  <c r="D803" i="9" l="1"/>
  <c r="D804" i="9" s="1"/>
  <c r="E803" i="9"/>
  <c r="E804" i="9" s="1"/>
  <c r="F804" i="9"/>
  <c r="J632" i="10"/>
  <c r="J633" i="10" s="1"/>
  <c r="I583" i="10"/>
  <c r="I584" i="10" s="1"/>
  <c r="J581" i="10"/>
  <c r="J583" i="10" s="1"/>
  <c r="J584" i="10" s="1"/>
  <c r="H584" i="10"/>
  <c r="C790" i="9"/>
  <c r="D2655" i="8"/>
  <c r="D2662" i="8" l="1"/>
  <c r="D2663" i="8" s="1"/>
  <c r="K632" i="10"/>
  <c r="K633" i="10" s="1"/>
  <c r="L632" i="10"/>
  <c r="D2670" i="8" l="1"/>
  <c r="D2671" i="8" s="1"/>
  <c r="L633" i="10"/>
  <c r="D2667" i="8"/>
  <c r="E2662" i="8"/>
  <c r="C2659" i="8"/>
  <c r="C2660" i="8" s="1"/>
  <c r="D2658" i="8"/>
  <c r="D2656" i="8"/>
  <c r="D2659" i="8" s="1"/>
  <c r="D2660" i="8" s="1"/>
  <c r="E2654" i="8"/>
  <c r="E2667" i="8" s="1"/>
  <c r="C2654" i="8"/>
  <c r="C2667" i="8" s="1"/>
  <c r="C2652" i="8"/>
  <c r="C2662" i="8" s="1"/>
  <c r="D2622" i="8"/>
  <c r="D2617" i="8"/>
  <c r="D2618" i="8" s="1"/>
  <c r="C2617" i="8"/>
  <c r="C2618" i="8" s="1"/>
  <c r="C2607" i="8"/>
  <c r="C2603" i="8"/>
  <c r="C2601" i="8"/>
  <c r="C2581" i="8"/>
  <c r="C2580" i="8"/>
  <c r="C2592" i="8"/>
  <c r="C2593" i="8" s="1"/>
  <c r="C2568" i="8"/>
  <c r="C2567" i="8"/>
  <c r="C2556" i="8"/>
  <c r="C2557" i="8" s="1"/>
  <c r="E2663" i="8" l="1"/>
  <c r="E2670" i="8"/>
  <c r="E2671" i="8" s="1"/>
  <c r="C2668" i="8"/>
  <c r="C2669" i="8"/>
  <c r="C2661" i="8"/>
  <c r="C2670" i="8"/>
  <c r="C2671" i="8" s="1"/>
  <c r="C2663" i="8"/>
  <c r="C2664" i="8" s="1"/>
  <c r="D2669" i="8"/>
  <c r="D2661" i="8"/>
  <c r="D2668" i="8"/>
  <c r="D2664" i="8"/>
  <c r="D2665" i="8" s="1"/>
  <c r="C2658" i="8"/>
  <c r="E2658" i="8"/>
  <c r="E2659" i="8"/>
  <c r="E2660" i="8" s="1"/>
  <c r="D2619" i="8"/>
  <c r="D2623" i="8" s="1"/>
  <c r="C2604" i="8"/>
  <c r="C2608" i="8" s="1"/>
  <c r="C2582" i="8"/>
  <c r="C2569" i="8"/>
  <c r="C2570" i="8" s="1"/>
  <c r="D2525" i="8"/>
  <c r="D2532" i="8" s="1"/>
  <c r="D2540" i="8" s="1"/>
  <c r="D2541" i="8" s="1"/>
  <c r="D2526" i="8"/>
  <c r="D2529" i="8" s="1"/>
  <c r="D2530" i="8" s="1"/>
  <c r="D2537" i="8"/>
  <c r="E2532" i="8"/>
  <c r="C2529" i="8"/>
  <c r="C2530" i="8" s="1"/>
  <c r="D2528" i="8"/>
  <c r="E2524" i="8"/>
  <c r="E2529" i="8" s="1"/>
  <c r="E2530" i="8" s="1"/>
  <c r="C2524" i="8"/>
  <c r="C2537" i="8" s="1"/>
  <c r="C2522" i="8"/>
  <c r="C2532" i="8" s="1"/>
  <c r="C2540" i="8" s="1"/>
  <c r="C2464" i="8"/>
  <c r="C2447" i="8"/>
  <c r="C2501" i="8"/>
  <c r="E2661" i="8" l="1"/>
  <c r="E2669" i="8"/>
  <c r="E2664" i="8"/>
  <c r="E2665" i="8" s="1"/>
  <c r="E2668" i="8"/>
  <c r="F2668" i="8" s="1"/>
  <c r="C2672" i="8"/>
  <c r="C2665" i="8"/>
  <c r="D2672" i="8"/>
  <c r="F2660" i="8"/>
  <c r="E2533" i="8"/>
  <c r="E2534" i="8" s="1"/>
  <c r="E2535" i="8" s="1"/>
  <c r="C2541" i="8"/>
  <c r="E2531" i="8"/>
  <c r="E2539" i="8"/>
  <c r="D2531" i="8"/>
  <c r="D2539" i="8"/>
  <c r="D2538" i="8"/>
  <c r="C2539" i="8"/>
  <c r="F2530" i="8"/>
  <c r="C2538" i="8"/>
  <c r="C2531" i="8"/>
  <c r="E2540" i="8"/>
  <c r="E2541" i="8" s="1"/>
  <c r="C2528" i="8"/>
  <c r="D2533" i="8"/>
  <c r="D2534" i="8" s="1"/>
  <c r="D2535" i="8" s="1"/>
  <c r="E2537" i="8"/>
  <c r="E2538" i="8" s="1"/>
  <c r="E2528" i="8"/>
  <c r="C2533" i="8"/>
  <c r="C2534" i="8" s="1"/>
  <c r="G2668" i="8" l="1"/>
  <c r="F2664" i="8"/>
  <c r="G2664" i="8" s="1"/>
  <c r="E2672" i="8"/>
  <c r="F2672" i="8" s="1"/>
  <c r="F2665" i="8"/>
  <c r="D2666" i="8" s="1"/>
  <c r="F2669" i="8"/>
  <c r="F2534" i="8"/>
  <c r="G2534" i="8" s="1"/>
  <c r="C2535" i="8"/>
  <c r="F2538" i="8"/>
  <c r="G2538" i="8" s="1"/>
  <c r="C2542" i="8"/>
  <c r="F2539" i="8"/>
  <c r="C2543" i="8" s="1"/>
  <c r="C2544" i="8" s="1"/>
  <c r="E2542" i="8"/>
  <c r="D2542" i="8"/>
  <c r="E2666" i="8" l="1"/>
  <c r="C2673" i="8"/>
  <c r="C2674" i="8" s="1"/>
  <c r="D2673" i="8"/>
  <c r="D2674" i="8" s="1"/>
  <c r="G2672" i="8"/>
  <c r="C2666" i="8"/>
  <c r="E2673" i="8"/>
  <c r="E2674" i="8" s="1"/>
  <c r="D2543" i="8"/>
  <c r="D2544" i="8" s="1"/>
  <c r="E2543" i="8"/>
  <c r="E2544" i="8" s="1"/>
  <c r="F2535" i="8"/>
  <c r="C2536" i="8" s="1"/>
  <c r="F2542" i="8"/>
  <c r="G2542" i="8" s="1"/>
  <c r="C2457" i="8"/>
  <c r="C2452" i="8"/>
  <c r="C2502" i="8"/>
  <c r="C2498" i="8"/>
  <c r="C2499" i="8" s="1"/>
  <c r="C2495" i="8"/>
  <c r="C2496" i="8" s="1"/>
  <c r="C2435" i="8"/>
  <c r="C2436" i="8" s="1"/>
  <c r="C2433" i="8"/>
  <c r="C2434" i="8" s="1"/>
  <c r="C2431" i="8"/>
  <c r="C2432" i="8" s="1"/>
  <c r="C2414" i="8"/>
  <c r="C2415" i="8" s="1"/>
  <c r="C2412" i="8"/>
  <c r="C2413" i="8" s="1"/>
  <c r="C2410" i="8"/>
  <c r="C2411" i="8" s="1"/>
  <c r="C2265" i="8"/>
  <c r="C2266" i="8" s="1"/>
  <c r="C2263" i="8"/>
  <c r="C2264" i="8" s="1"/>
  <c r="C2262" i="8"/>
  <c r="C2249" i="8"/>
  <c r="C2250" i="8" s="1"/>
  <c r="C2009" i="8"/>
  <c r="E447" i="8"/>
  <c r="C340" i="8"/>
  <c r="F508" i="10"/>
  <c r="C505" i="10"/>
  <c r="D504" i="10"/>
  <c r="E504" i="10" s="1"/>
  <c r="E505" i="10" s="1"/>
  <c r="C503" i="10"/>
  <c r="C506" i="10" s="1"/>
  <c r="C508" i="10" s="1"/>
  <c r="D502" i="10"/>
  <c r="E502" i="10" s="1"/>
  <c r="E503" i="10" s="1"/>
  <c r="C2492" i="8" l="1"/>
  <c r="E506" i="10"/>
  <c r="E508" i="10" s="1"/>
  <c r="F2674" i="8"/>
  <c r="F2544" i="8"/>
  <c r="E2536" i="8"/>
  <c r="D2536" i="8"/>
  <c r="C2503" i="8"/>
  <c r="C2504" i="8" s="1"/>
  <c r="C2505" i="8" s="1"/>
  <c r="C2437" i="8"/>
  <c r="C2438" i="8" s="1"/>
  <c r="C2416" i="8"/>
  <c r="C2417" i="8" s="1"/>
  <c r="D503" i="10"/>
  <c r="D505" i="10"/>
  <c r="C2507" i="8" l="1"/>
  <c r="D506" i="10"/>
  <c r="D508" i="10" s="1"/>
  <c r="F509" i="10" s="1"/>
  <c r="F511" i="10" s="1"/>
  <c r="C88" i="10"/>
  <c r="C244" i="9"/>
  <c r="C554" i="10"/>
  <c r="C555" i="10" s="1"/>
  <c r="D757" i="9"/>
  <c r="C757" i="9"/>
  <c r="C2192" i="8"/>
  <c r="F2184" i="8"/>
  <c r="F2183" i="8"/>
  <c r="C2175" i="8"/>
  <c r="C2163" i="8"/>
  <c r="C2161" i="8"/>
  <c r="C2162" i="8"/>
  <c r="C2145" i="8"/>
  <c r="C2143" i="8"/>
  <c r="C2144" i="8" s="1"/>
  <c r="C2117" i="8"/>
  <c r="C2118" i="8" s="1"/>
  <c r="C2509" i="8" l="1"/>
  <c r="C556" i="10"/>
  <c r="E757" i="9"/>
  <c r="F757" i="9" s="1"/>
  <c r="G2184" i="8"/>
  <c r="C2183" i="8" s="1"/>
  <c r="C2186" i="8" s="1"/>
  <c r="C2188" i="8" s="1"/>
  <c r="C2194" i="8" s="1"/>
  <c r="C2164" i="8"/>
  <c r="C2146" i="8"/>
  <c r="C2101" i="8"/>
  <c r="C2102" i="8" s="1"/>
  <c r="C2098" i="8"/>
  <c r="C2511" i="8" l="1"/>
  <c r="C2099" i="8"/>
  <c r="C2100" i="8" s="1"/>
  <c r="C2103" i="8" s="1"/>
  <c r="C2104" i="8" s="1"/>
  <c r="C2105" i="8" s="1"/>
  <c r="C2124" i="8" s="1"/>
  <c r="C2119" i="8"/>
  <c r="C2114" i="8"/>
  <c r="C2115" i="8" s="1"/>
  <c r="C2111" i="8"/>
  <c r="C2112" i="8" s="1"/>
  <c r="C2108" i="8"/>
  <c r="C2109" i="8" s="1"/>
  <c r="C2049" i="8"/>
  <c r="C2048" i="8"/>
  <c r="C2047" i="8"/>
  <c r="C2033" i="8"/>
  <c r="C2020" i="8"/>
  <c r="C2021" i="8" s="1"/>
  <c r="C1991" i="8"/>
  <c r="C1989" i="8"/>
  <c r="C1990" i="8" s="1"/>
  <c r="C1986" i="8"/>
  <c r="C1987" i="8" s="1"/>
  <c r="C1983" i="8"/>
  <c r="C1984" i="8" s="1"/>
  <c r="C1980" i="8"/>
  <c r="C1996" i="8" s="1"/>
  <c r="D1939" i="8"/>
  <c r="E1934" i="8"/>
  <c r="E1942" i="8" s="1"/>
  <c r="D1934" i="8"/>
  <c r="D1942" i="8" s="1"/>
  <c r="D1943" i="8" s="1"/>
  <c r="C1931" i="8"/>
  <c r="C1932" i="8" s="1"/>
  <c r="D1930" i="8"/>
  <c r="D1928" i="8"/>
  <c r="D1931" i="8" s="1"/>
  <c r="D1932" i="8" s="1"/>
  <c r="E1926" i="8"/>
  <c r="E1939" i="8" s="1"/>
  <c r="C1926" i="8"/>
  <c r="C1939" i="8" s="1"/>
  <c r="C1924" i="8"/>
  <c r="C1912" i="8"/>
  <c r="C1899" i="8"/>
  <c r="C1900" i="8" s="1"/>
  <c r="C1557" i="8"/>
  <c r="C1558" i="8" s="1"/>
  <c r="C1555" i="8"/>
  <c r="C1556" i="8" s="1"/>
  <c r="C1552" i="8"/>
  <c r="C1553" i="8" s="1"/>
  <c r="C1549" i="8"/>
  <c r="C1550" i="8" s="1"/>
  <c r="C1546" i="8"/>
  <c r="C1562" i="8" s="1"/>
  <c r="C2050" i="8" l="1"/>
  <c r="C2051" i="8" s="1"/>
  <c r="C2052" i="8"/>
  <c r="C2120" i="8"/>
  <c r="C1930" i="8"/>
  <c r="C1992" i="8"/>
  <c r="C1993" i="8" s="1"/>
  <c r="C1994" i="8" s="1"/>
  <c r="C1998" i="8" s="1"/>
  <c r="E1930" i="8"/>
  <c r="C1934" i="8"/>
  <c r="C1942" i="8" s="1"/>
  <c r="C1943" i="8" s="1"/>
  <c r="E1943" i="8"/>
  <c r="D1940" i="8"/>
  <c r="D1933" i="8"/>
  <c r="D1941" i="8"/>
  <c r="C1933" i="8"/>
  <c r="C1940" i="8"/>
  <c r="C1941" i="8"/>
  <c r="D1935" i="8"/>
  <c r="D1936" i="8" s="1"/>
  <c r="D1937" i="8" s="1"/>
  <c r="E1935" i="8"/>
  <c r="E1931" i="8"/>
  <c r="E1932" i="8" s="1"/>
  <c r="C1559" i="8"/>
  <c r="C1560" i="8" s="1"/>
  <c r="C1564" i="8" s="1"/>
  <c r="C2054" i="8" l="1"/>
  <c r="C2121" i="8"/>
  <c r="C2122" i="8" s="1"/>
  <c r="C2126" i="8" s="1"/>
  <c r="C2053" i="8"/>
  <c r="C1935" i="8"/>
  <c r="C1936" i="8" s="1"/>
  <c r="C1937" i="8" s="1"/>
  <c r="E1940" i="8"/>
  <c r="F1940" i="8" s="1"/>
  <c r="E1933" i="8"/>
  <c r="E1936" i="8"/>
  <c r="E1941" i="8"/>
  <c r="F1941" i="8" s="1"/>
  <c r="D1945" i="8" s="1"/>
  <c r="D1946" i="8" s="1"/>
  <c r="C1944" i="8"/>
  <c r="D1944" i="8"/>
  <c r="F1932" i="8"/>
  <c r="C1566" i="8"/>
  <c r="C1568" i="8"/>
  <c r="F1936" i="8" l="1"/>
  <c r="G1936" i="8" s="1"/>
  <c r="C2130" i="8"/>
  <c r="C2128" i="8"/>
  <c r="E1937" i="8"/>
  <c r="F1937" i="8" s="1"/>
  <c r="G1940" i="8"/>
  <c r="C1945" i="8"/>
  <c r="C1946" i="8" s="1"/>
  <c r="E1945" i="8"/>
  <c r="E1946" i="8" s="1"/>
  <c r="E1944" i="8"/>
  <c r="F1944" i="8" s="1"/>
  <c r="G1944" i="8" s="1"/>
  <c r="C1848" i="8"/>
  <c r="F1946" i="8" l="1"/>
  <c r="C1938" i="8"/>
  <c r="D1938" i="8"/>
  <c r="E1938" i="8"/>
  <c r="C997" i="8"/>
  <c r="G30" i="13"/>
  <c r="F30" i="13"/>
  <c r="E30" i="13"/>
  <c r="C472" i="8" l="1"/>
  <c r="C1165" i="8"/>
  <c r="C115" i="8"/>
  <c r="C116" i="8" s="1"/>
  <c r="D163" i="10"/>
  <c r="E163" i="10" s="1"/>
  <c r="D125" i="10"/>
  <c r="C261" i="9"/>
  <c r="C229" i="9"/>
  <c r="E154" i="9"/>
  <c r="C18" i="9"/>
  <c r="C19" i="9" s="1"/>
  <c r="D769" i="8"/>
  <c r="C662" i="8"/>
  <c r="C535" i="10"/>
  <c r="C536" i="10" s="1"/>
  <c r="C539" i="10"/>
  <c r="C540" i="10" s="1"/>
  <c r="C537" i="10"/>
  <c r="C533" i="10"/>
  <c r="C534" i="10" s="1"/>
  <c r="C483" i="10"/>
  <c r="F482" i="10"/>
  <c r="D479" i="10"/>
  <c r="E479" i="10" s="1"/>
  <c r="C478" i="10"/>
  <c r="D477" i="10"/>
  <c r="E477" i="10" s="1"/>
  <c r="E478" i="10" s="1"/>
  <c r="C476" i="10"/>
  <c r="D475" i="10"/>
  <c r="D476" i="10" s="1"/>
  <c r="C480" i="10" l="1"/>
  <c r="C482" i="10" s="1"/>
  <c r="C538" i="10"/>
  <c r="C541" i="10" s="1"/>
  <c r="C542" i="10" s="1"/>
  <c r="E475" i="10"/>
  <c r="E476" i="10" s="1"/>
  <c r="E480" i="10" s="1"/>
  <c r="E482" i="10" s="1"/>
  <c r="D478" i="10"/>
  <c r="D480" i="10" s="1"/>
  <c r="D482" i="10" s="1"/>
  <c r="D483" i="10"/>
  <c r="E483" i="10"/>
  <c r="G482" i="10" l="1"/>
  <c r="G483" i="10"/>
  <c r="G484" i="10" s="1"/>
  <c r="D439" i="10"/>
  <c r="E439" i="10" s="1"/>
  <c r="F439" i="10" s="1"/>
  <c r="G439" i="10" s="1"/>
  <c r="H439" i="10" s="1"/>
  <c r="D432" i="10"/>
  <c r="D437" i="10"/>
  <c r="E437" i="10" s="1"/>
  <c r="F437" i="10" s="1"/>
  <c r="G437" i="10" s="1"/>
  <c r="H437" i="10" s="1"/>
  <c r="C437" i="10"/>
  <c r="H431" i="10"/>
  <c r="G431" i="10"/>
  <c r="F431" i="10"/>
  <c r="E431" i="10"/>
  <c r="D431" i="10"/>
  <c r="C431" i="10"/>
  <c r="C410" i="10"/>
  <c r="C411" i="10" s="1"/>
  <c r="C391" i="10"/>
  <c r="C392" i="10" s="1"/>
  <c r="F369" i="10"/>
  <c r="C365" i="10"/>
  <c r="D365" i="10"/>
  <c r="E365" i="10" s="1"/>
  <c r="F365" i="10" s="1"/>
  <c r="G365" i="10" s="1"/>
  <c r="H365" i="10" s="1"/>
  <c r="C361" i="10"/>
  <c r="H361" i="10"/>
  <c r="G361" i="10"/>
  <c r="F361" i="10"/>
  <c r="E361" i="10"/>
  <c r="D361" i="10"/>
  <c r="H358" i="10"/>
  <c r="G358" i="10"/>
  <c r="F358" i="10"/>
  <c r="E358" i="10"/>
  <c r="D358" i="10"/>
  <c r="C358" i="10"/>
  <c r="C367" i="10"/>
  <c r="D367" i="10" s="1"/>
  <c r="E367" i="10" s="1"/>
  <c r="F367" i="10" s="1"/>
  <c r="G367" i="10" s="1"/>
  <c r="H367" i="10" s="1"/>
  <c r="C338" i="10"/>
  <c r="C333" i="10"/>
  <c r="C334" i="10" s="1"/>
  <c r="C332" i="10"/>
  <c r="C337" i="10" s="1"/>
  <c r="C468" i="10" l="1"/>
  <c r="C487" i="10"/>
  <c r="C488" i="10" s="1"/>
  <c r="C438" i="10"/>
  <c r="D434" i="10"/>
  <c r="E432" i="10"/>
  <c r="E434" i="10" s="1"/>
  <c r="D438" i="10"/>
  <c r="C434" i="10"/>
  <c r="E438" i="10"/>
  <c r="F438" i="10"/>
  <c r="G438" i="10"/>
  <c r="H438" i="10"/>
  <c r="C362" i="10"/>
  <c r="F362" i="10"/>
  <c r="D366" i="10"/>
  <c r="G362" i="10"/>
  <c r="E366" i="10"/>
  <c r="C366" i="10"/>
  <c r="H362" i="10"/>
  <c r="G366" i="10"/>
  <c r="F366" i="10"/>
  <c r="H366" i="10"/>
  <c r="D362" i="10"/>
  <c r="E362" i="10"/>
  <c r="C335" i="10"/>
  <c r="C336" i="10" s="1"/>
  <c r="C339" i="10" s="1"/>
  <c r="C306" i="10"/>
  <c r="C307" i="10" s="1"/>
  <c r="C308" i="10" s="1"/>
  <c r="C309" i="10" s="1"/>
  <c r="C310" i="10" s="1"/>
  <c r="C305" i="10"/>
  <c r="C311" i="10" s="1"/>
  <c r="E285" i="10"/>
  <c r="D285" i="10"/>
  <c r="C285" i="10"/>
  <c r="F271" i="10"/>
  <c r="E271" i="10"/>
  <c r="D271" i="10"/>
  <c r="C271" i="10"/>
  <c r="C256" i="10"/>
  <c r="C257" i="10" s="1"/>
  <c r="C239" i="10"/>
  <c r="C240" i="10" s="1"/>
  <c r="C222" i="10"/>
  <c r="C223" i="10" s="1"/>
  <c r="D210" i="10"/>
  <c r="D214" i="10" s="1"/>
  <c r="C214" i="10"/>
  <c r="C212" i="10"/>
  <c r="C196" i="10"/>
  <c r="C197" i="10" s="1"/>
  <c r="C198" i="10" s="1"/>
  <c r="C167" i="10"/>
  <c r="C165" i="10"/>
  <c r="F151" i="10"/>
  <c r="D148" i="10"/>
  <c r="D146" i="10"/>
  <c r="D147" i="10" s="1"/>
  <c r="D144" i="10"/>
  <c r="D145" i="10" s="1"/>
  <c r="C147" i="10"/>
  <c r="C145" i="10"/>
  <c r="C131" i="10"/>
  <c r="D128" i="10"/>
  <c r="E128" i="10" s="1"/>
  <c r="C113" i="10"/>
  <c r="C91" i="10"/>
  <c r="C92" i="10" s="1"/>
  <c r="C89" i="10"/>
  <c r="C94" i="10"/>
  <c r="C66" i="10"/>
  <c r="C65" i="10"/>
  <c r="C45" i="10"/>
  <c r="C46" i="10" s="1"/>
  <c r="C44" i="10"/>
  <c r="C25" i="10"/>
  <c r="C24" i="10"/>
  <c r="C22" i="10"/>
  <c r="C23" i="10" s="1"/>
  <c r="E747" i="9"/>
  <c r="F747" i="9" s="1"/>
  <c r="E732" i="9"/>
  <c r="E734" i="9" s="1"/>
  <c r="D732" i="9"/>
  <c r="D734" i="9" s="1"/>
  <c r="C718" i="9"/>
  <c r="E686" i="9"/>
  <c r="D686" i="9"/>
  <c r="F700" i="9"/>
  <c r="E698" i="9"/>
  <c r="D698" i="9"/>
  <c r="E695" i="9"/>
  <c r="D695" i="9"/>
  <c r="E692" i="9"/>
  <c r="D692" i="9"/>
  <c r="D689" i="9"/>
  <c r="D667" i="9"/>
  <c r="D665" i="9"/>
  <c r="G631" i="9"/>
  <c r="G633" i="9" s="1"/>
  <c r="E631" i="9"/>
  <c r="E633" i="9" s="1"/>
  <c r="G630" i="9"/>
  <c r="E630" i="9"/>
  <c r="E613" i="9"/>
  <c r="D613" i="9"/>
  <c r="F596" i="9"/>
  <c r="D582" i="9"/>
  <c r="E582" i="9"/>
  <c r="E594" i="9"/>
  <c r="D594" i="9"/>
  <c r="E591" i="9"/>
  <c r="D591" i="9"/>
  <c r="E588" i="9"/>
  <c r="D588" i="9"/>
  <c r="E585" i="9"/>
  <c r="D585" i="9"/>
  <c r="D563" i="9"/>
  <c r="D561" i="9"/>
  <c r="C513" i="9"/>
  <c r="C515" i="9" s="1"/>
  <c r="F494" i="9"/>
  <c r="F493" i="9"/>
  <c r="C469" i="9"/>
  <c r="C470" i="9" s="1"/>
  <c r="E448" i="9"/>
  <c r="D448" i="9"/>
  <c r="E445" i="9"/>
  <c r="D445" i="9"/>
  <c r="E442" i="9"/>
  <c r="D442" i="9"/>
  <c r="E439" i="9"/>
  <c r="D439" i="9"/>
  <c r="D419" i="9"/>
  <c r="D417" i="9"/>
  <c r="C362" i="9"/>
  <c r="C363" i="9" s="1"/>
  <c r="C364" i="9" s="1"/>
  <c r="E346" i="9"/>
  <c r="C342" i="9" s="1"/>
  <c r="C340" i="9"/>
  <c r="C341" i="9" s="1"/>
  <c r="C315" i="9"/>
  <c r="C319" i="9"/>
  <c r="C321" i="9" s="1"/>
  <c r="C323" i="9" s="1"/>
  <c r="E297" i="9"/>
  <c r="E296" i="9"/>
  <c r="D283" i="9"/>
  <c r="C283" i="9"/>
  <c r="D272" i="9"/>
  <c r="C273" i="9" s="1"/>
  <c r="C274" i="9" s="1"/>
  <c r="D275" i="9" s="1"/>
  <c r="D262" i="9"/>
  <c r="D263" i="9" s="1"/>
  <c r="C634" i="9" l="1"/>
  <c r="D264" i="9"/>
  <c r="E264" i="9"/>
  <c r="F370" i="10"/>
  <c r="C47" i="10"/>
  <c r="C734" i="9"/>
  <c r="G271" i="10"/>
  <c r="C441" i="10"/>
  <c r="C443" i="10" s="1"/>
  <c r="D127" i="10"/>
  <c r="D129" i="10" s="1"/>
  <c r="E129" i="10" s="1"/>
  <c r="E125" i="10"/>
  <c r="E127" i="10" s="1"/>
  <c r="C633" i="9"/>
  <c r="C469" i="10"/>
  <c r="C489" i="10" s="1"/>
  <c r="C491" i="10" s="1"/>
  <c r="C492" i="10" s="1"/>
  <c r="C493" i="10" s="1"/>
  <c r="C494" i="10" s="1"/>
  <c r="D441" i="10"/>
  <c r="D443" i="10" s="1"/>
  <c r="F432" i="10"/>
  <c r="F434" i="10" s="1"/>
  <c r="F441" i="10" s="1"/>
  <c r="F443" i="10" s="1"/>
  <c r="E441" i="10"/>
  <c r="E443" i="10" s="1"/>
  <c r="C370" i="10"/>
  <c r="C372" i="10" s="1"/>
  <c r="D370" i="10"/>
  <c r="D372" i="10" s="1"/>
  <c r="C312" i="10"/>
  <c r="F285" i="10"/>
  <c r="E210" i="10"/>
  <c r="E214" i="10" s="1"/>
  <c r="C216" i="10"/>
  <c r="D216" i="10" s="1"/>
  <c r="E216" i="10" s="1"/>
  <c r="F216" i="10" s="1"/>
  <c r="F217" i="10" s="1"/>
  <c r="C215" i="10"/>
  <c r="C149" i="10"/>
  <c r="C151" i="10" s="1"/>
  <c r="D212" i="10"/>
  <c r="D215" i="10" s="1"/>
  <c r="C168" i="10"/>
  <c r="C170" i="10" s="1"/>
  <c r="E165" i="10"/>
  <c r="E167" i="10"/>
  <c r="D167" i="10"/>
  <c r="D165" i="10"/>
  <c r="C90" i="10"/>
  <c r="C93" i="10" s="1"/>
  <c r="D149" i="10"/>
  <c r="E149" i="10" s="1"/>
  <c r="E151" i="10" s="1"/>
  <c r="C26" i="10"/>
  <c r="C27" i="10" s="1"/>
  <c r="C67" i="10"/>
  <c r="C68" i="10" s="1"/>
  <c r="E699" i="9"/>
  <c r="D699" i="9"/>
  <c r="C613" i="9"/>
  <c r="E595" i="9"/>
  <c r="D595" i="9"/>
  <c r="C514" i="9"/>
  <c r="F495" i="9"/>
  <c r="D449" i="9"/>
  <c r="D451" i="9" s="1"/>
  <c r="E449" i="9"/>
  <c r="E451" i="9" s="1"/>
  <c r="C343" i="9"/>
  <c r="E298" i="9"/>
  <c r="C325" i="9"/>
  <c r="D284" i="9"/>
  <c r="E496" i="9" l="1"/>
  <c r="D496" i="9"/>
  <c r="F595" i="9"/>
  <c r="G596" i="9" s="1"/>
  <c r="D597" i="9" s="1"/>
  <c r="G432" i="10"/>
  <c r="G434" i="10" s="1"/>
  <c r="G441" i="10" s="1"/>
  <c r="G443" i="10" s="1"/>
  <c r="D131" i="10"/>
  <c r="F129" i="10"/>
  <c r="F131" i="10" s="1"/>
  <c r="C495" i="10"/>
  <c r="D494" i="10"/>
  <c r="E370" i="10"/>
  <c r="E372" i="10" s="1"/>
  <c r="E212" i="10"/>
  <c r="E215" i="10" s="1"/>
  <c r="E217" i="10" s="1"/>
  <c r="D168" i="10"/>
  <c r="D170" i="10" s="1"/>
  <c r="C217" i="10"/>
  <c r="D217" i="10"/>
  <c r="D151" i="10"/>
  <c r="G151" i="10" s="1"/>
  <c r="E168" i="10"/>
  <c r="E170" i="10" s="1"/>
  <c r="C95" i="10"/>
  <c r="F699" i="9"/>
  <c r="G700" i="9" s="1"/>
  <c r="E701" i="9" s="1"/>
  <c r="C245" i="9"/>
  <c r="C197" i="9"/>
  <c r="C199" i="9" s="1"/>
  <c r="C201" i="9" s="1"/>
  <c r="C194" i="9"/>
  <c r="C203" i="9" s="1"/>
  <c r="G175" i="9"/>
  <c r="E175" i="9"/>
  <c r="G173" i="9"/>
  <c r="E173" i="9"/>
  <c r="E155" i="9"/>
  <c r="E153" i="9"/>
  <c r="C141" i="9"/>
  <c r="C126" i="9"/>
  <c r="E597" i="9" l="1"/>
  <c r="C599" i="9" s="1"/>
  <c r="H432" i="10"/>
  <c r="H434" i="10" s="1"/>
  <c r="H441" i="10" s="1"/>
  <c r="H443" i="10" s="1"/>
  <c r="I443" i="10" s="1"/>
  <c r="D495" i="10"/>
  <c r="E494" i="10"/>
  <c r="E495" i="10" s="1"/>
  <c r="F372" i="10"/>
  <c r="G217" i="10"/>
  <c r="E131" i="10"/>
  <c r="G131" i="10" s="1"/>
  <c r="F170" i="10"/>
  <c r="D701" i="9"/>
  <c r="C703" i="9" s="1"/>
  <c r="C452" i="9"/>
  <c r="C453" i="9"/>
  <c r="C204" i="9"/>
  <c r="C175" i="9"/>
  <c r="E156" i="9"/>
  <c r="C100" i="9"/>
  <c r="F81" i="9"/>
  <c r="E79" i="9"/>
  <c r="D79" i="9"/>
  <c r="E76" i="9"/>
  <c r="D76" i="9"/>
  <c r="E73" i="9"/>
  <c r="D73" i="9"/>
  <c r="D50" i="9"/>
  <c r="D48" i="9"/>
  <c r="E70" i="9"/>
  <c r="D70" i="9"/>
  <c r="C598" i="9" l="1"/>
  <c r="C702" i="9"/>
  <c r="F495" i="10"/>
  <c r="F496" i="10" s="1"/>
  <c r="H370" i="10"/>
  <c r="H372" i="10" s="1"/>
  <c r="G370" i="10"/>
  <c r="G372" i="10" s="1"/>
  <c r="I372" i="10" s="1"/>
  <c r="E80" i="9"/>
  <c r="D80" i="9"/>
  <c r="F80" i="9" l="1"/>
  <c r="G81" i="9" s="1"/>
  <c r="D82" i="9" s="1"/>
  <c r="E82" i="9" l="1"/>
  <c r="C83" i="9" s="1"/>
  <c r="C84" i="9" l="1"/>
  <c r="D1880" i="8" l="1"/>
  <c r="E1875" i="8"/>
  <c r="E1883" i="8" s="1"/>
  <c r="D1875" i="8"/>
  <c r="D1883" i="8" s="1"/>
  <c r="D1884" i="8" s="1"/>
  <c r="C1872" i="8"/>
  <c r="C1873" i="8" s="1"/>
  <c r="C1882" i="8" s="1"/>
  <c r="D1871" i="8"/>
  <c r="D1869" i="8"/>
  <c r="D1872" i="8" s="1"/>
  <c r="D1873" i="8" s="1"/>
  <c r="E1867" i="8"/>
  <c r="E1872" i="8" s="1"/>
  <c r="E1873" i="8" s="1"/>
  <c r="E1882" i="8" s="1"/>
  <c r="C1867" i="8"/>
  <c r="C1880" i="8" s="1"/>
  <c r="C1865" i="8"/>
  <c r="C1849" i="8"/>
  <c r="C1829" i="8"/>
  <c r="D1827" i="8" s="1"/>
  <c r="D1829" i="8" s="1"/>
  <c r="C1814" i="8"/>
  <c r="C1812" i="8"/>
  <c r="C1813" i="8" s="1"/>
  <c r="D1788" i="8"/>
  <c r="E1783" i="8"/>
  <c r="D1783" i="8"/>
  <c r="D1784" i="8" s="1"/>
  <c r="C1780" i="8"/>
  <c r="C1781" i="8" s="1"/>
  <c r="D1779" i="8"/>
  <c r="D1777" i="8"/>
  <c r="D1780" i="8" s="1"/>
  <c r="D1781" i="8" s="1"/>
  <c r="E1775" i="8"/>
  <c r="E1788" i="8" s="1"/>
  <c r="C1775" i="8"/>
  <c r="C1788" i="8" s="1"/>
  <c r="C1773" i="8"/>
  <c r="D1750" i="8"/>
  <c r="E1745" i="8"/>
  <c r="E1753" i="8" s="1"/>
  <c r="D1745" i="8"/>
  <c r="D1753" i="8" s="1"/>
  <c r="D1754" i="8" s="1"/>
  <c r="C1742" i="8"/>
  <c r="C1743" i="8" s="1"/>
  <c r="D1741" i="8"/>
  <c r="D1739" i="8"/>
  <c r="D1742" i="8" s="1"/>
  <c r="D1743" i="8" s="1"/>
  <c r="E1737" i="8"/>
  <c r="E1750" i="8" s="1"/>
  <c r="C1737" i="8"/>
  <c r="C1735" i="8"/>
  <c r="C1745" i="8" s="1"/>
  <c r="C1753" i="8" s="1"/>
  <c r="C1711" i="8"/>
  <c r="C1712" i="8" s="1"/>
  <c r="C1713" i="8"/>
  <c r="D1687" i="8"/>
  <c r="E1682" i="8"/>
  <c r="E1690" i="8" s="1"/>
  <c r="D1682" i="8"/>
  <c r="D1683" i="8" s="1"/>
  <c r="C1679" i="8"/>
  <c r="C1680" i="8" s="1"/>
  <c r="D1678" i="8"/>
  <c r="D1676" i="8"/>
  <c r="D1679" i="8" s="1"/>
  <c r="D1680" i="8" s="1"/>
  <c r="E1674" i="8"/>
  <c r="E1678" i="8" s="1"/>
  <c r="C1674" i="8"/>
  <c r="C1687" i="8" s="1"/>
  <c r="C1672" i="8"/>
  <c r="D1649" i="8"/>
  <c r="E1644" i="8"/>
  <c r="D1644" i="8"/>
  <c r="D1645" i="8" s="1"/>
  <c r="C1641" i="8"/>
  <c r="C1642" i="8" s="1"/>
  <c r="D1640" i="8"/>
  <c r="D1638" i="8"/>
  <c r="D1641" i="8" s="1"/>
  <c r="D1642" i="8" s="1"/>
  <c r="E1636" i="8"/>
  <c r="E1641" i="8" s="1"/>
  <c r="E1642" i="8" s="1"/>
  <c r="C1636" i="8"/>
  <c r="C1649" i="8" s="1"/>
  <c r="C1634" i="8"/>
  <c r="C1611" i="8"/>
  <c r="C1610" i="8"/>
  <c r="G1591" i="8"/>
  <c r="G1590" i="8"/>
  <c r="C1579" i="8"/>
  <c r="C1871" i="8" l="1"/>
  <c r="E1884" i="8"/>
  <c r="D1882" i="8"/>
  <c r="D1876" i="8"/>
  <c r="D1877" i="8" s="1"/>
  <c r="D1878" i="8" s="1"/>
  <c r="E1880" i="8"/>
  <c r="E1881" i="8" s="1"/>
  <c r="E1874" i="8"/>
  <c r="C1881" i="8"/>
  <c r="C1874" i="8"/>
  <c r="F1873" i="8"/>
  <c r="C1875" i="8"/>
  <c r="C1883" i="8" s="1"/>
  <c r="E1871" i="8"/>
  <c r="E1876" i="8"/>
  <c r="E1877" i="8" s="1"/>
  <c r="E1878" i="8" s="1"/>
  <c r="D1881" i="8"/>
  <c r="D1874" i="8"/>
  <c r="C1779" i="8"/>
  <c r="C1815" i="8"/>
  <c r="C1831" i="8"/>
  <c r="D1831" i="8"/>
  <c r="E1827" i="8"/>
  <c r="E1829" i="8" s="1"/>
  <c r="E1831" i="8" s="1"/>
  <c r="E1784" i="8"/>
  <c r="E1791" i="8"/>
  <c r="E1792" i="8" s="1"/>
  <c r="C1782" i="8"/>
  <c r="C1789" i="8"/>
  <c r="C1790" i="8"/>
  <c r="D1782" i="8"/>
  <c r="D1785" i="8"/>
  <c r="D1786" i="8" s="1"/>
  <c r="D1789" i="8"/>
  <c r="D1790" i="8"/>
  <c r="C1783" i="8"/>
  <c r="D1791" i="8"/>
  <c r="D1792" i="8" s="1"/>
  <c r="E1779" i="8"/>
  <c r="E1780" i="8"/>
  <c r="E1781" i="8" s="1"/>
  <c r="C1741" i="8"/>
  <c r="E1754" i="8"/>
  <c r="C1754" i="8"/>
  <c r="D1744" i="8"/>
  <c r="D1752" i="8"/>
  <c r="D1751" i="8"/>
  <c r="C1744" i="8"/>
  <c r="C1752" i="8"/>
  <c r="E1741" i="8"/>
  <c r="E1746" i="8"/>
  <c r="E1742" i="8"/>
  <c r="E1743" i="8" s="1"/>
  <c r="C1750" i="8"/>
  <c r="C1751" i="8" s="1"/>
  <c r="C1746" i="8"/>
  <c r="C1747" i="8" s="1"/>
  <c r="C1748" i="8" s="1"/>
  <c r="D1746" i="8"/>
  <c r="D1747" i="8" s="1"/>
  <c r="D1748" i="8" s="1"/>
  <c r="C1714" i="8"/>
  <c r="E1691" i="8"/>
  <c r="D1690" i="8"/>
  <c r="D1691" i="8" s="1"/>
  <c r="E1645" i="8"/>
  <c r="E1646" i="8" s="1"/>
  <c r="E1647" i="8" s="1"/>
  <c r="C1678" i="8"/>
  <c r="C1640" i="8"/>
  <c r="E1683" i="8"/>
  <c r="D1689" i="8"/>
  <c r="D1684" i="8"/>
  <c r="D1685" i="8" s="1"/>
  <c r="D1688" i="8"/>
  <c r="D1681" i="8"/>
  <c r="C1689" i="8"/>
  <c r="C1681" i="8"/>
  <c r="C1688" i="8"/>
  <c r="C1682" i="8"/>
  <c r="E1679" i="8"/>
  <c r="E1680" i="8" s="1"/>
  <c r="E1687" i="8"/>
  <c r="D1652" i="8"/>
  <c r="D1653" i="8" s="1"/>
  <c r="D1646" i="8"/>
  <c r="D1647" i="8" s="1"/>
  <c r="D1643" i="8"/>
  <c r="D1650" i="8"/>
  <c r="D1651" i="8"/>
  <c r="E1643" i="8"/>
  <c r="E1651" i="8"/>
  <c r="E1652" i="8"/>
  <c r="E1653" i="8" s="1"/>
  <c r="C1651" i="8"/>
  <c r="F1642" i="8"/>
  <c r="C1644" i="8"/>
  <c r="C1650" i="8"/>
  <c r="E1640" i="8"/>
  <c r="C1643" i="8"/>
  <c r="E1649" i="8"/>
  <c r="E1650" i="8" s="1"/>
  <c r="C1612" i="8"/>
  <c r="H1591" i="8"/>
  <c r="C1590" i="8" s="1"/>
  <c r="C1593" i="8" s="1"/>
  <c r="F1882" i="8" l="1"/>
  <c r="C1886" i="8" s="1"/>
  <c r="E1885" i="8"/>
  <c r="D1885" i="8"/>
  <c r="C1876" i="8"/>
  <c r="C1877" i="8" s="1"/>
  <c r="C1884" i="8"/>
  <c r="C1885" i="8" s="1"/>
  <c r="F1881" i="8"/>
  <c r="G1881" i="8" s="1"/>
  <c r="F1831" i="8"/>
  <c r="D1793" i="8"/>
  <c r="E1790" i="8"/>
  <c r="F1790" i="8" s="1"/>
  <c r="D1794" i="8" s="1"/>
  <c r="D1795" i="8" s="1"/>
  <c r="E1785" i="8"/>
  <c r="E1786" i="8" s="1"/>
  <c r="E1789" i="8"/>
  <c r="F1789" i="8" s="1"/>
  <c r="E1782" i="8"/>
  <c r="C1791" i="8"/>
  <c r="C1792" i="8" s="1"/>
  <c r="C1793" i="8" s="1"/>
  <c r="C1784" i="8"/>
  <c r="C1785" i="8" s="1"/>
  <c r="F1781" i="8"/>
  <c r="E1744" i="8"/>
  <c r="E1752" i="8"/>
  <c r="F1752" i="8" s="1"/>
  <c r="C1756" i="8" s="1"/>
  <c r="C1757" i="8" s="1"/>
  <c r="E1747" i="8"/>
  <c r="E1748" i="8" s="1"/>
  <c r="E1751" i="8"/>
  <c r="F1751" i="8" s="1"/>
  <c r="C1755" i="8"/>
  <c r="F1743" i="8"/>
  <c r="D1755" i="8"/>
  <c r="E1684" i="8"/>
  <c r="E1685" i="8" s="1"/>
  <c r="E1688" i="8"/>
  <c r="F1688" i="8" s="1"/>
  <c r="E1689" i="8"/>
  <c r="F1689" i="8" s="1"/>
  <c r="D1693" i="8" s="1"/>
  <c r="D1694" i="8" s="1"/>
  <c r="E1681" i="8"/>
  <c r="D1692" i="8"/>
  <c r="F1680" i="8"/>
  <c r="C1683" i="8"/>
  <c r="C1684" i="8" s="1"/>
  <c r="C1690" i="8"/>
  <c r="C1691" i="8" s="1"/>
  <c r="C1692" i="8" s="1"/>
  <c r="D1654" i="8"/>
  <c r="F1650" i="8"/>
  <c r="G1650" i="8" s="1"/>
  <c r="C1645" i="8"/>
  <c r="C1646" i="8" s="1"/>
  <c r="C1652" i="8"/>
  <c r="C1653" i="8" s="1"/>
  <c r="C1654" i="8" s="1"/>
  <c r="F1651" i="8"/>
  <c r="D1655" i="8" s="1"/>
  <c r="D1656" i="8" s="1"/>
  <c r="E1654" i="8"/>
  <c r="D1886" i="8" l="1"/>
  <c r="D1887" i="8" s="1"/>
  <c r="E1886" i="8"/>
  <c r="E1887" i="8" s="1"/>
  <c r="F1885" i="8"/>
  <c r="G1885" i="8" s="1"/>
  <c r="C1887" i="8"/>
  <c r="F1877" i="8"/>
  <c r="G1877" i="8" s="1"/>
  <c r="C1878" i="8"/>
  <c r="F1785" i="8"/>
  <c r="G1785" i="8" s="1"/>
  <c r="C1786" i="8"/>
  <c r="F1786" i="8" s="1"/>
  <c r="G1789" i="8"/>
  <c r="E1794" i="8"/>
  <c r="E1795" i="8" s="1"/>
  <c r="E1793" i="8"/>
  <c r="F1793" i="8" s="1"/>
  <c r="G1793" i="8" s="1"/>
  <c r="C1794" i="8"/>
  <c r="C1795" i="8" s="1"/>
  <c r="G1751" i="8"/>
  <c r="D1756" i="8"/>
  <c r="D1757" i="8" s="1"/>
  <c r="F1747" i="8"/>
  <c r="G1747" i="8" s="1"/>
  <c r="F1748" i="8"/>
  <c r="E1749" i="8" s="1"/>
  <c r="E1756" i="8"/>
  <c r="E1757" i="8" s="1"/>
  <c r="E1755" i="8"/>
  <c r="F1755" i="8" s="1"/>
  <c r="G1755" i="8" s="1"/>
  <c r="E1655" i="8"/>
  <c r="E1656" i="8" s="1"/>
  <c r="C1693" i="8"/>
  <c r="C1694" i="8" s="1"/>
  <c r="F1684" i="8"/>
  <c r="G1684" i="8" s="1"/>
  <c r="C1685" i="8"/>
  <c r="G1688" i="8"/>
  <c r="E1693" i="8"/>
  <c r="E1694" i="8" s="1"/>
  <c r="E1692" i="8"/>
  <c r="F1692" i="8" s="1"/>
  <c r="G1692" i="8" s="1"/>
  <c r="F1654" i="8"/>
  <c r="G1654" i="8" s="1"/>
  <c r="C1655" i="8"/>
  <c r="C1656" i="8" s="1"/>
  <c r="F1646" i="8"/>
  <c r="C1647" i="8"/>
  <c r="F1795" i="8" l="1"/>
  <c r="F1887" i="8"/>
  <c r="F1878" i="8"/>
  <c r="C1787" i="8"/>
  <c r="F1757" i="8"/>
  <c r="D1749" i="8"/>
  <c r="C1749" i="8"/>
  <c r="F1656" i="8"/>
  <c r="F1685" i="8"/>
  <c r="F1694" i="8"/>
  <c r="F1647" i="8"/>
  <c r="E1879" i="8" l="1"/>
  <c r="D1879" i="8"/>
  <c r="C1879" i="8"/>
  <c r="D1787" i="8"/>
  <c r="E1787" i="8"/>
  <c r="D1686" i="8"/>
  <c r="E1686" i="8"/>
  <c r="C1686" i="8"/>
  <c r="E1648" i="8"/>
  <c r="D1648" i="8"/>
  <c r="C1648" i="8"/>
  <c r="D1500" i="8" l="1"/>
  <c r="E1495" i="8"/>
  <c r="D1495" i="8"/>
  <c r="D1496" i="8" s="1"/>
  <c r="C1492" i="8"/>
  <c r="C1493" i="8" s="1"/>
  <c r="D1491" i="8"/>
  <c r="D1489" i="8"/>
  <c r="D1492" i="8" s="1"/>
  <c r="D1493" i="8" s="1"/>
  <c r="E1487" i="8"/>
  <c r="E1492" i="8" s="1"/>
  <c r="E1493" i="8" s="1"/>
  <c r="C1487" i="8"/>
  <c r="C1500" i="8" s="1"/>
  <c r="C1485" i="8"/>
  <c r="C1495" i="8" s="1"/>
  <c r="D1462" i="8"/>
  <c r="E1457" i="8"/>
  <c r="E1465" i="8" s="1"/>
  <c r="D1457" i="8"/>
  <c r="D1458" i="8" s="1"/>
  <c r="C1447" i="8"/>
  <c r="C1457" i="8" s="1"/>
  <c r="C1454" i="8"/>
  <c r="C1455" i="8" s="1"/>
  <c r="D1453" i="8"/>
  <c r="D1451" i="8"/>
  <c r="D1454" i="8" s="1"/>
  <c r="D1455" i="8" s="1"/>
  <c r="D1464" i="8" s="1"/>
  <c r="E1449" i="8"/>
  <c r="C1449" i="8"/>
  <c r="C1462" i="8" s="1"/>
  <c r="E1462" i="8" l="1"/>
  <c r="E1454" i="8"/>
  <c r="E1455" i="8" s="1"/>
  <c r="F1455" i="8" s="1"/>
  <c r="E1496" i="8"/>
  <c r="E1497" i="8" s="1"/>
  <c r="E1498" i="8" s="1"/>
  <c r="D1503" i="8"/>
  <c r="D1504" i="8" s="1"/>
  <c r="D1502" i="8"/>
  <c r="D1497" i="8"/>
  <c r="D1498" i="8" s="1"/>
  <c r="D1501" i="8"/>
  <c r="D1494" i="8"/>
  <c r="E1502" i="8"/>
  <c r="E1494" i="8"/>
  <c r="C1503" i="8"/>
  <c r="C1504" i="8" s="1"/>
  <c r="C1496" i="8"/>
  <c r="C1497" i="8" s="1"/>
  <c r="C1494" i="8"/>
  <c r="F1493" i="8"/>
  <c r="C1502" i="8"/>
  <c r="C1501" i="8"/>
  <c r="E1503" i="8"/>
  <c r="E1504" i="8" s="1"/>
  <c r="C1491" i="8"/>
  <c r="E1500" i="8"/>
  <c r="E1501" i="8" s="1"/>
  <c r="E1491" i="8"/>
  <c r="E1466" i="8"/>
  <c r="D1465" i="8"/>
  <c r="D1466" i="8" s="1"/>
  <c r="D1467" i="8" s="1"/>
  <c r="C1458" i="8"/>
  <c r="C1459" i="8" s="1"/>
  <c r="D1463" i="8"/>
  <c r="C1463" i="8"/>
  <c r="C1464" i="8"/>
  <c r="C1465" i="8"/>
  <c r="C1466" i="8" s="1"/>
  <c r="E1458" i="8"/>
  <c r="D1459" i="8"/>
  <c r="D1456" i="8"/>
  <c r="C1456" i="8"/>
  <c r="E1453" i="8"/>
  <c r="C1453" i="8"/>
  <c r="C1460" i="8" l="1"/>
  <c r="C1467" i="8"/>
  <c r="F1497" i="8"/>
  <c r="C1498" i="8"/>
  <c r="F1502" i="8"/>
  <c r="C1506" i="8" s="1"/>
  <c r="C1507" i="8" s="1"/>
  <c r="C1505" i="8"/>
  <c r="E1505" i="8"/>
  <c r="F1501" i="8"/>
  <c r="G1501" i="8" s="1"/>
  <c r="D1505" i="8"/>
  <c r="E1464" i="8"/>
  <c r="E1463" i="8"/>
  <c r="F1463" i="8" s="1"/>
  <c r="G1463" i="8" s="1"/>
  <c r="D1460" i="8"/>
  <c r="E1459" i="8"/>
  <c r="E1460" i="8" s="1"/>
  <c r="E1456" i="8"/>
  <c r="F1459" i="8" l="1"/>
  <c r="E1506" i="8"/>
  <c r="E1507" i="8" s="1"/>
  <c r="D1506" i="8"/>
  <c r="D1507" i="8" s="1"/>
  <c r="F1505" i="8"/>
  <c r="G1505" i="8" s="1"/>
  <c r="F1498" i="8"/>
  <c r="C1499" i="8" s="1"/>
  <c r="E1467" i="8"/>
  <c r="F1467" i="8" s="1"/>
  <c r="F1464" i="8"/>
  <c r="F1460" i="8"/>
  <c r="C1461" i="8" s="1"/>
  <c r="D1461" i="8" l="1"/>
  <c r="E1461" i="8"/>
  <c r="F1507" i="8"/>
  <c r="E1499" i="8"/>
  <c r="D1499" i="8"/>
  <c r="D1468" i="8"/>
  <c r="D1469" i="8" s="1"/>
  <c r="C1468" i="8"/>
  <c r="C1469" i="8" s="1"/>
  <c r="E1468" i="8"/>
  <c r="E1469" i="8" s="1"/>
  <c r="G1467" i="8"/>
  <c r="F1469" i="8" l="1"/>
  <c r="C1430" i="8" l="1"/>
  <c r="C1429" i="8"/>
  <c r="C1431" i="8" s="1"/>
  <c r="C1410" i="8"/>
  <c r="C1389" i="8"/>
  <c r="C1390" i="8" s="1"/>
  <c r="C1387" i="8"/>
  <c r="C1386" i="8"/>
  <c r="C1383" i="8"/>
  <c r="C1361" i="8"/>
  <c r="C1362" i="8" s="1"/>
  <c r="C1343" i="8"/>
  <c r="F1337" i="8"/>
  <c r="F1336" i="8"/>
  <c r="C1324" i="8"/>
  <c r="C1323" i="8"/>
  <c r="C1305" i="8"/>
  <c r="C1306" i="8" s="1"/>
  <c r="C1288" i="8"/>
  <c r="C1287" i="8"/>
  <c r="C1266" i="8"/>
  <c r="F1259" i="8"/>
  <c r="F1258" i="8"/>
  <c r="C1244" i="8"/>
  <c r="C1245" i="8"/>
  <c r="C1241" i="8"/>
  <c r="C1240" i="8"/>
  <c r="C1239" i="8"/>
  <c r="C1238" i="8"/>
  <c r="C1237" i="8"/>
  <c r="C1222" i="8"/>
  <c r="C1206" i="8"/>
  <c r="C1207" i="8" s="1"/>
  <c r="C1208" i="8" s="1"/>
  <c r="C1182" i="8"/>
  <c r="D1182" i="8" s="1"/>
  <c r="E1182" i="8" s="1"/>
  <c r="C1181" i="8"/>
  <c r="D1181" i="8" s="1"/>
  <c r="C1166" i="8"/>
  <c r="C1168" i="8"/>
  <c r="C1167" i="8"/>
  <c r="C1147" i="8"/>
  <c r="C1146" i="8"/>
  <c r="C1145" i="8"/>
  <c r="C1127" i="8"/>
  <c r="C1128" i="8" s="1"/>
  <c r="C1110" i="8"/>
  <c r="C1111" i="8"/>
  <c r="C1092" i="8"/>
  <c r="C1093" i="8" s="1"/>
  <c r="D1073" i="8"/>
  <c r="D1074" i="8" s="1"/>
  <c r="D1075" i="8" s="1"/>
  <c r="D1076" i="8" s="1"/>
  <c r="C1073" i="8"/>
  <c r="C1074" i="8" s="1"/>
  <c r="C1075" i="8" s="1"/>
  <c r="C1076" i="8" s="1"/>
  <c r="C1056" i="8"/>
  <c r="C1053" i="8"/>
  <c r="C1054" i="8" s="1"/>
  <c r="C1055" i="8" s="1"/>
  <c r="C1051" i="8"/>
  <c r="C1050" i="8"/>
  <c r="C1033" i="8"/>
  <c r="C1015" i="8"/>
  <c r="C1014" i="8"/>
  <c r="C998" i="8"/>
  <c r="C978" i="8"/>
  <c r="C957" i="8"/>
  <c r="C958" i="8" s="1"/>
  <c r="C959" i="8" s="1"/>
  <c r="C961" i="8"/>
  <c r="C962" i="8" s="1"/>
  <c r="C940" i="8"/>
  <c r="C941" i="8" s="1"/>
  <c r="C1384" i="8" l="1"/>
  <c r="C1385" i="8" s="1"/>
  <c r="C1388" i="8" s="1"/>
  <c r="C1391" i="8"/>
  <c r="C1289" i="8"/>
  <c r="C1290" i="8" s="1"/>
  <c r="G1337" i="8"/>
  <c r="C1336" i="8" s="1"/>
  <c r="G1259" i="8"/>
  <c r="C1258" i="8" s="1"/>
  <c r="C1261" i="8" s="1"/>
  <c r="C1263" i="8" s="1"/>
  <c r="C1268" i="8" s="1"/>
  <c r="C1246" i="8"/>
  <c r="C1242" i="8"/>
  <c r="C1183" i="8"/>
  <c r="C1185" i="8" s="1"/>
  <c r="D1183" i="8"/>
  <c r="D1185" i="8" s="1"/>
  <c r="E1181" i="8"/>
  <c r="E1183" i="8" s="1"/>
  <c r="E1185" i="8" s="1"/>
  <c r="C1148" i="8"/>
  <c r="C1169" i="8"/>
  <c r="D1077" i="8"/>
  <c r="C1052" i="8"/>
  <c r="C1057" i="8" s="1"/>
  <c r="C1016" i="8"/>
  <c r="C910" i="8"/>
  <c r="C915" i="8" s="1"/>
  <c r="C909" i="8"/>
  <c r="C911" i="8" s="1"/>
  <c r="C912" i="8" s="1"/>
  <c r="C889" i="8"/>
  <c r="C890" i="8" s="1"/>
  <c r="C1394" i="8" l="1"/>
  <c r="C1395" i="8"/>
  <c r="C1392" i="8"/>
  <c r="C1339" i="8"/>
  <c r="C1340" i="8" s="1"/>
  <c r="C1346" i="8" s="1"/>
  <c r="F1185" i="8"/>
  <c r="C913" i="8"/>
  <c r="C914" i="8" s="1"/>
  <c r="C916" i="8" s="1"/>
  <c r="C868" i="8"/>
  <c r="C866" i="8"/>
  <c r="C865" i="8"/>
  <c r="C847" i="8"/>
  <c r="C844" i="8"/>
  <c r="C845" i="8" s="1"/>
  <c r="C846" i="8" s="1"/>
  <c r="C822" i="8"/>
  <c r="C823" i="8" s="1"/>
  <c r="C824" i="8" s="1"/>
  <c r="C803" i="8"/>
  <c r="C804" i="8" s="1"/>
  <c r="C784" i="8"/>
  <c r="E769" i="8"/>
  <c r="E770" i="8" s="1"/>
  <c r="C848" i="8" l="1"/>
  <c r="C867" i="8"/>
  <c r="C869" i="8" s="1"/>
  <c r="C870" i="8" s="1"/>
  <c r="C757" i="8" l="1"/>
  <c r="C742" i="8"/>
  <c r="C743" i="8" s="1"/>
  <c r="D721" i="8"/>
  <c r="D722" i="8" s="1"/>
  <c r="D723" i="8" s="1"/>
  <c r="D724" i="8" s="1"/>
  <c r="C721" i="8"/>
  <c r="C722" i="8" s="1"/>
  <c r="C723" i="8" s="1"/>
  <c r="C724" i="8" s="1"/>
  <c r="C701" i="8"/>
  <c r="C702" i="8" s="1"/>
  <c r="C700" i="8"/>
  <c r="F675" i="8"/>
  <c r="F674" i="8"/>
  <c r="C647" i="8"/>
  <c r="C648" i="8" s="1"/>
  <c r="C629" i="8"/>
  <c r="H602" i="8"/>
  <c r="H601" i="8"/>
  <c r="C611" i="8"/>
  <c r="C589" i="8"/>
  <c r="C588" i="8"/>
  <c r="C574" i="8"/>
  <c r="E556" i="8"/>
  <c r="D556" i="8"/>
  <c r="C533" i="8"/>
  <c r="C540" i="8" s="1"/>
  <c r="C509" i="8"/>
  <c r="C510" i="8" s="1"/>
  <c r="C511" i="8" s="1"/>
  <c r="C507" i="8"/>
  <c r="C508" i="8" s="1"/>
  <c r="C491" i="8"/>
  <c r="C488" i="8"/>
  <c r="C489" i="8" s="1"/>
  <c r="C490" i="8" s="1"/>
  <c r="C456" i="8"/>
  <c r="C457" i="8" s="1"/>
  <c r="E448" i="8"/>
  <c r="C431" i="8"/>
  <c r="C433" i="8" s="1"/>
  <c r="C409" i="8"/>
  <c r="C410" i="8" s="1"/>
  <c r="C414" i="8" s="1"/>
  <c r="C385" i="8"/>
  <c r="C387" i="8" s="1"/>
  <c r="C384" i="8"/>
  <c r="C386" i="8" s="1"/>
  <c r="C364" i="8"/>
  <c r="C363" i="8"/>
  <c r="C360" i="8"/>
  <c r="C361" i="8" s="1"/>
  <c r="C320" i="8"/>
  <c r="C321" i="8" s="1"/>
  <c r="C290" i="8"/>
  <c r="D290" i="8" s="1"/>
  <c r="C274" i="8"/>
  <c r="C273" i="8"/>
  <c r="C609" i="8" l="1"/>
  <c r="I602" i="8"/>
  <c r="F676" i="8"/>
  <c r="C703" i="8"/>
  <c r="C704" i="8" s="1"/>
  <c r="C705" i="8" s="1"/>
  <c r="D725" i="8"/>
  <c r="C556" i="8"/>
  <c r="C535" i="8"/>
  <c r="E449" i="8"/>
  <c r="D450" i="8" s="1"/>
  <c r="C512" i="8"/>
  <c r="C432" i="8"/>
  <c r="C434" i="8" s="1"/>
  <c r="C435" i="8" s="1"/>
  <c r="C411" i="8"/>
  <c r="C412" i="8" s="1"/>
  <c r="C413" i="8" s="1"/>
  <c r="C415" i="8" s="1"/>
  <c r="C388" i="8"/>
  <c r="C389" i="8" s="1"/>
  <c r="C362" i="8"/>
  <c r="C365" i="8" s="1"/>
  <c r="E290" i="8"/>
  <c r="E292" i="8" s="1"/>
  <c r="D292" i="8"/>
  <c r="C292" i="8"/>
  <c r="C257" i="8"/>
  <c r="C256" i="8"/>
  <c r="C255" i="8"/>
  <c r="C236" i="8"/>
  <c r="C237" i="8" s="1"/>
  <c r="C215" i="8"/>
  <c r="E201" i="8"/>
  <c r="D201" i="8"/>
  <c r="C201" i="8"/>
  <c r="F185" i="8"/>
  <c r="F183" i="8"/>
  <c r="F184" i="8"/>
  <c r="D186" i="8"/>
  <c r="E185" i="8" s="1"/>
  <c r="C537" i="8" l="1"/>
  <c r="C677" i="8"/>
  <c r="C679" i="8" s="1"/>
  <c r="C680" i="8" s="1"/>
  <c r="D677" i="8"/>
  <c r="C612" i="8"/>
  <c r="C610" i="8"/>
  <c r="C536" i="8"/>
  <c r="C450" i="8"/>
  <c r="C452" i="8" s="1"/>
  <c r="C453" i="8" s="1"/>
  <c r="C458" i="8" s="1"/>
  <c r="F292" i="8"/>
  <c r="C258" i="8"/>
  <c r="F201" i="8"/>
  <c r="E183" i="8"/>
  <c r="E184" i="8"/>
  <c r="C173" i="8"/>
  <c r="C157" i="8"/>
  <c r="C143" i="8"/>
  <c r="C144" i="8" s="1"/>
  <c r="C129" i="8"/>
  <c r="C128" i="8"/>
  <c r="C114" i="8"/>
  <c r="C113" i="8"/>
  <c r="C91" i="8"/>
  <c r="C92" i="8" s="1"/>
  <c r="C93" i="8" s="1"/>
  <c r="C68" i="8"/>
  <c r="D75" i="8"/>
  <c r="C75" i="8"/>
  <c r="C55" i="8"/>
  <c r="C56" i="8" s="1"/>
  <c r="C57" i="8" s="1"/>
  <c r="C40" i="8"/>
  <c r="C41" i="8" s="1"/>
  <c r="D22" i="8"/>
  <c r="D23" i="8" s="1"/>
  <c r="D24" i="8" s="1"/>
  <c r="D25" i="8" s="1"/>
  <c r="C22" i="8"/>
  <c r="C23" i="8" s="1"/>
  <c r="C24" i="8" s="1"/>
  <c r="C25" i="8" s="1"/>
  <c r="C538" i="8" l="1"/>
  <c r="C613" i="8"/>
  <c r="C117" i="8"/>
  <c r="E186" i="8"/>
  <c r="F186" i="8"/>
  <c r="D76" i="8"/>
  <c r="C78" i="8" s="1"/>
  <c r="D2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Алексей Зумберг</author>
  </authors>
  <commentList>
    <comment ref="D26" authorId="0" shapeId="0" xr:uid="{14EC20C8-EFC2-4EDE-971C-9E4928A0E39B}">
      <text>
        <r>
          <rPr>
            <b/>
            <sz val="9"/>
            <color indexed="81"/>
            <rFont val="Tahoma"/>
            <family val="2"/>
            <charset val="204"/>
          </rPr>
          <t>Аналог дороже (износ меньше). Корректировка понижающая.</t>
        </r>
        <r>
          <rPr>
            <sz val="9"/>
            <color indexed="81"/>
            <rFont val="Tahoma"/>
            <family val="2"/>
            <charset val="204"/>
          </rPr>
          <t xml:space="preserve">
</t>
        </r>
      </text>
    </comment>
    <comment ref="D72" authorId="0" shapeId="0" xr:uid="{2486A0D3-980D-443F-8574-09C77820D6ED}">
      <text>
        <r>
          <rPr>
            <b/>
            <sz val="9"/>
            <color indexed="81"/>
            <rFont val="Tahoma"/>
            <family val="2"/>
            <charset val="204"/>
          </rPr>
          <t>Половина межремонтных ресурсов</t>
        </r>
        <r>
          <rPr>
            <sz val="9"/>
            <color indexed="81"/>
            <rFont val="Tahoma"/>
            <family val="2"/>
            <charset val="204"/>
          </rPr>
          <t xml:space="preserve">
</t>
        </r>
      </text>
    </comment>
    <comment ref="D76" authorId="0" shapeId="0" xr:uid="{A8C6E5D4-AE98-400F-8A4F-82B7A38E91DC}">
      <text>
        <r>
          <rPr>
            <b/>
            <sz val="9"/>
            <color indexed="81"/>
            <rFont val="Tahoma"/>
            <family val="2"/>
            <charset val="204"/>
          </rPr>
          <t>Износ меньше, аналог дороже, корректировка понижающая</t>
        </r>
        <r>
          <rPr>
            <sz val="9"/>
            <color indexed="81"/>
            <rFont val="Tahoma"/>
            <family val="2"/>
            <charset val="204"/>
          </rPr>
          <t xml:space="preserve">
</t>
        </r>
      </text>
    </comment>
    <comment ref="C78" authorId="0" shapeId="0" xr:uid="{A69298CF-AFB4-4C69-B852-215EABF21A6C}">
      <text>
        <r>
          <rPr>
            <b/>
            <sz val="9"/>
            <color indexed="81"/>
            <rFont val="Tahoma"/>
            <family val="2"/>
            <charset val="204"/>
          </rPr>
          <t>Проверить знак в формуле вычисления: если корректировка в ячейке со знаком "минус", то в формуле должен быть "плюс"</t>
        </r>
        <r>
          <rPr>
            <sz val="9"/>
            <color indexed="81"/>
            <rFont val="Tahoma"/>
            <family val="2"/>
            <charset val="204"/>
          </rPr>
          <t xml:space="preserve">
</t>
        </r>
      </text>
    </comment>
    <comment ref="C91" authorId="0" shapeId="0" xr:uid="{506DCBE6-A62E-4206-A821-A5AFDC3F5DF0}">
      <text>
        <r>
          <rPr>
            <b/>
            <sz val="9"/>
            <color indexed="81"/>
            <rFont val="Tahoma"/>
            <family val="2"/>
            <charset val="204"/>
          </rPr>
          <t>100% делим на нормативный срок службы</t>
        </r>
        <r>
          <rPr>
            <sz val="9"/>
            <color indexed="81"/>
            <rFont val="Tahoma"/>
            <family val="2"/>
            <charset val="204"/>
          </rPr>
          <t xml:space="preserve">
</t>
        </r>
      </text>
    </comment>
    <comment ref="B109" authorId="0" shapeId="0" xr:uid="{FD4A822D-96D4-4714-A374-3FC2000C214C}">
      <text>
        <r>
          <rPr>
            <b/>
            <sz val="9"/>
            <color indexed="81"/>
            <rFont val="Tahoma"/>
            <family val="2"/>
            <charset val="204"/>
          </rPr>
          <t>Специализированные операционные активы по затратному подходу</t>
        </r>
        <r>
          <rPr>
            <sz val="9"/>
            <color indexed="81"/>
            <rFont val="Tahoma"/>
            <family val="2"/>
            <charset val="204"/>
          </rPr>
          <t xml:space="preserve">
</t>
        </r>
      </text>
    </comment>
    <comment ref="D186" authorId="0" shapeId="0" xr:uid="{9578A817-0F8C-4AEA-9E57-DECF5CD9A284}">
      <text>
        <r>
          <rPr>
            <b/>
            <sz val="9"/>
            <color indexed="81"/>
            <rFont val="Tahoma"/>
            <family val="2"/>
            <charset val="204"/>
          </rPr>
          <t>Общая сумма всего оборудования</t>
        </r>
        <r>
          <rPr>
            <sz val="9"/>
            <color indexed="81"/>
            <rFont val="Tahoma"/>
            <family val="2"/>
            <charset val="204"/>
          </rPr>
          <t xml:space="preserve">
</t>
        </r>
      </text>
    </comment>
    <comment ref="C401" authorId="0" shapeId="0" xr:uid="{FED06F2A-7E61-4F62-AA9B-EF69DE817DD5}">
      <text>
        <r>
          <rPr>
            <b/>
            <sz val="9"/>
            <color indexed="81"/>
            <rFont val="Tahoma"/>
            <family val="2"/>
            <charset val="204"/>
          </rPr>
          <t>Затраты на монтаж уже учтены в первоначальной балансовой стоимости.
Были задачи, где из формулировки условия было понятно, что затраты на монтаж рассчитываются отдельно.</t>
        </r>
      </text>
    </comment>
    <comment ref="C427" authorId="0" shapeId="0" xr:uid="{FB601EDB-6DE6-4FFB-86EB-4BBF57116055}">
      <text>
        <r>
          <rPr>
            <b/>
            <sz val="9"/>
            <color indexed="81"/>
            <rFont val="Tahoma"/>
            <family val="2"/>
            <charset val="204"/>
          </rPr>
          <t>Затраты на монтаж уже учтены в первоначальной балансовой стоимости.
Были задачи, где из формулировки условия было понятно, что затраты на монтаж рассчитываются отдельно.</t>
        </r>
      </text>
    </comment>
    <comment ref="C450" authorId="0" shapeId="0" xr:uid="{D44B30CF-BB90-4737-BE43-6AF87775AD83}">
      <text>
        <r>
          <rPr>
            <b/>
            <sz val="9"/>
            <color indexed="81"/>
            <rFont val="Tahoma"/>
            <family val="2"/>
            <charset val="204"/>
          </rPr>
          <t>Расчет ОО через А1</t>
        </r>
        <r>
          <rPr>
            <sz val="9"/>
            <color indexed="81"/>
            <rFont val="Tahoma"/>
            <family val="2"/>
            <charset val="204"/>
          </rPr>
          <t xml:space="preserve">
</t>
        </r>
      </text>
    </comment>
    <comment ref="D450" authorId="0" shapeId="0" xr:uid="{ABA67581-3A58-4459-9190-1A83E119A358}">
      <text>
        <r>
          <rPr>
            <b/>
            <sz val="9"/>
            <color indexed="81"/>
            <rFont val="Tahoma"/>
            <family val="2"/>
            <charset val="204"/>
          </rPr>
          <t>Расчет ОО через А2</t>
        </r>
        <r>
          <rPr>
            <sz val="9"/>
            <color indexed="81"/>
            <rFont val="Tahoma"/>
            <family val="2"/>
            <charset val="204"/>
          </rPr>
          <t xml:space="preserve">
</t>
        </r>
      </text>
    </comment>
    <comment ref="C677" authorId="0" shapeId="0" xr:uid="{6744D816-D1E0-44C3-A218-8735413540B0}">
      <text>
        <r>
          <rPr>
            <b/>
            <sz val="9"/>
            <color indexed="81"/>
            <rFont val="Tahoma"/>
            <family val="2"/>
            <charset val="204"/>
          </rPr>
          <t>Расчет от линии А</t>
        </r>
        <r>
          <rPr>
            <sz val="9"/>
            <color indexed="81"/>
            <rFont val="Tahoma"/>
            <family val="2"/>
            <charset val="204"/>
          </rPr>
          <t xml:space="preserve">
</t>
        </r>
      </text>
    </comment>
    <comment ref="D677" authorId="0" shapeId="0" xr:uid="{670EA89A-741E-4BD0-9AD4-A907597302A7}">
      <text>
        <r>
          <rPr>
            <b/>
            <sz val="9"/>
            <color indexed="81"/>
            <rFont val="Tahoma"/>
            <family val="2"/>
            <charset val="204"/>
          </rPr>
          <t>Расчет от линии Б</t>
        </r>
        <r>
          <rPr>
            <sz val="9"/>
            <color indexed="81"/>
            <rFont val="Tahoma"/>
            <family val="2"/>
            <charset val="204"/>
          </rPr>
          <t xml:space="preserve">
</t>
        </r>
      </text>
    </comment>
    <comment ref="D725" authorId="0" shapeId="0" xr:uid="{796078FF-32C7-4C40-AF86-2C55E8E1F461}">
      <text>
        <r>
          <rPr>
            <b/>
            <sz val="9"/>
            <color indexed="81"/>
            <rFont val="Tahoma"/>
            <family val="2"/>
            <charset val="204"/>
          </rPr>
          <t>Аналог дешевле (износ больше). Корректировка повышающая (положительная).</t>
        </r>
        <r>
          <rPr>
            <sz val="9"/>
            <color indexed="81"/>
            <rFont val="Tahoma"/>
            <family val="2"/>
            <charset val="204"/>
          </rPr>
          <t xml:space="preserve">
</t>
        </r>
      </text>
    </comment>
    <comment ref="C1181" authorId="0" shapeId="0" xr:uid="{79CDA872-94EE-4B80-ABC0-768E5D538619}">
      <text>
        <r>
          <rPr>
            <b/>
            <sz val="9"/>
            <color indexed="81"/>
            <rFont val="Tahoma"/>
            <family val="2"/>
            <charset val="204"/>
          </rPr>
          <t>Начислять или нет рост цен на первый год, нужно смотреть по ответам.
В задаче 5.2.1.88 зачли другой ответ!!!</t>
        </r>
        <r>
          <rPr>
            <sz val="9"/>
            <color indexed="81"/>
            <rFont val="Tahoma"/>
            <family val="2"/>
            <charset val="204"/>
          </rPr>
          <t xml:space="preserve">
</t>
        </r>
      </text>
    </comment>
    <comment ref="C1449" authorId="0" shapeId="0" xr:uid="{4B3F0EC4-2024-4BB3-B99B-4D22846E7F66}">
      <text>
        <r>
          <rPr>
            <b/>
            <sz val="9"/>
            <color indexed="81"/>
            <rFont val="Tahoma"/>
            <family val="2"/>
            <charset val="204"/>
          </rPr>
          <t>Обратный расчет. Износ начисляется линейно (из условия задачи)</t>
        </r>
        <r>
          <rPr>
            <sz val="9"/>
            <color indexed="81"/>
            <rFont val="Tahoma"/>
            <family val="2"/>
            <charset val="204"/>
          </rPr>
          <t xml:space="preserve">
</t>
        </r>
      </text>
    </comment>
    <comment ref="D1449" authorId="0" shapeId="0" xr:uid="{0AC2B5B9-E1AD-441F-90DF-2AB9968B52FF}">
      <text>
        <r>
          <rPr>
            <b/>
            <sz val="9"/>
            <color indexed="81"/>
            <rFont val="Tahoma"/>
            <family val="2"/>
            <charset val="204"/>
          </rPr>
          <t>Из условия задачи</t>
        </r>
        <r>
          <rPr>
            <sz val="9"/>
            <color indexed="81"/>
            <rFont val="Tahoma"/>
            <family val="2"/>
            <charset val="204"/>
          </rPr>
          <t xml:space="preserve">
</t>
        </r>
      </text>
    </comment>
    <comment ref="E1449" authorId="0" shapeId="0" xr:uid="{EDE07AB1-5C05-4DEC-9A2D-9F6DBF4B3887}">
      <text>
        <r>
          <rPr>
            <b/>
            <sz val="9"/>
            <color indexed="81"/>
            <rFont val="Tahoma"/>
            <family val="2"/>
            <charset val="204"/>
          </rPr>
          <t>ЭВ + Остаточный срок</t>
        </r>
        <r>
          <rPr>
            <sz val="9"/>
            <color indexed="81"/>
            <rFont val="Tahoma"/>
            <family val="2"/>
            <charset val="204"/>
          </rPr>
          <t xml:space="preserve">
</t>
        </r>
      </text>
    </comment>
    <comment ref="C1487" authorId="0" shapeId="0" xr:uid="{4A79E402-8934-447B-8BFA-59AAA984AC1B}">
      <text>
        <r>
          <rPr>
            <b/>
            <sz val="9"/>
            <color indexed="81"/>
            <rFont val="Tahoma"/>
            <family val="2"/>
            <charset val="204"/>
          </rPr>
          <t>Обратный расчет. Износ начисляется линейно (из условия задачи)</t>
        </r>
        <r>
          <rPr>
            <sz val="9"/>
            <color indexed="81"/>
            <rFont val="Tahoma"/>
            <family val="2"/>
            <charset val="204"/>
          </rPr>
          <t xml:space="preserve">
</t>
        </r>
      </text>
    </comment>
    <comment ref="D1487" authorId="0" shapeId="0" xr:uid="{854140A1-38C3-4643-8962-CE43FA9799AC}">
      <text>
        <r>
          <rPr>
            <b/>
            <sz val="9"/>
            <color indexed="81"/>
            <rFont val="Tahoma"/>
            <family val="2"/>
            <charset val="204"/>
          </rPr>
          <t>Из условия задачи</t>
        </r>
        <r>
          <rPr>
            <sz val="9"/>
            <color indexed="81"/>
            <rFont val="Tahoma"/>
            <family val="2"/>
            <charset val="204"/>
          </rPr>
          <t xml:space="preserve">
</t>
        </r>
      </text>
    </comment>
    <comment ref="E1487" authorId="0" shapeId="0" xr:uid="{AFBDCD74-434A-49DE-B9E1-CD426C263F9C}">
      <text>
        <r>
          <rPr>
            <b/>
            <sz val="9"/>
            <color indexed="81"/>
            <rFont val="Tahoma"/>
            <family val="2"/>
            <charset val="204"/>
          </rPr>
          <t>ЭВ + Остаточный срок</t>
        </r>
        <r>
          <rPr>
            <sz val="9"/>
            <color indexed="81"/>
            <rFont val="Tahoma"/>
            <family val="2"/>
            <charset val="204"/>
          </rPr>
          <t xml:space="preserve">
</t>
        </r>
      </text>
    </comment>
    <comment ref="C1636" authorId="0" shapeId="0" xr:uid="{D8EC73E1-1EDF-4E96-B274-B0CA05017AAE}">
      <text>
        <r>
          <rPr>
            <b/>
            <sz val="9"/>
            <color indexed="81"/>
            <rFont val="Tahoma"/>
            <family val="2"/>
            <charset val="204"/>
          </rPr>
          <t>Обратный расчет. Износ начисляется линейно (из условия задачи)</t>
        </r>
        <r>
          <rPr>
            <sz val="9"/>
            <color indexed="81"/>
            <rFont val="Tahoma"/>
            <family val="2"/>
            <charset val="204"/>
          </rPr>
          <t xml:space="preserve">
</t>
        </r>
      </text>
    </comment>
    <comment ref="D1636" authorId="0" shapeId="0" xr:uid="{8BC3D797-1F41-4FC7-9429-F953407B435C}">
      <text>
        <r>
          <rPr>
            <b/>
            <sz val="9"/>
            <color indexed="81"/>
            <rFont val="Tahoma"/>
            <family val="2"/>
            <charset val="204"/>
          </rPr>
          <t>Из условия задачи</t>
        </r>
        <r>
          <rPr>
            <sz val="9"/>
            <color indexed="81"/>
            <rFont val="Tahoma"/>
            <family val="2"/>
            <charset val="204"/>
          </rPr>
          <t xml:space="preserve">
</t>
        </r>
      </text>
    </comment>
    <comment ref="E1636" authorId="0" shapeId="0" xr:uid="{D9DA086B-CD8A-4626-8515-559C1B94632C}">
      <text>
        <r>
          <rPr>
            <b/>
            <sz val="9"/>
            <color indexed="81"/>
            <rFont val="Tahoma"/>
            <family val="2"/>
            <charset val="204"/>
          </rPr>
          <t>ЭВ + Остаточный срок</t>
        </r>
        <r>
          <rPr>
            <sz val="9"/>
            <color indexed="81"/>
            <rFont val="Tahoma"/>
            <family val="2"/>
            <charset val="204"/>
          </rPr>
          <t xml:space="preserve">
</t>
        </r>
      </text>
    </comment>
    <comment ref="C1674" authorId="0" shapeId="0" xr:uid="{A8D5772D-9073-4E2C-92AA-ABA0C88AF58E}">
      <text>
        <r>
          <rPr>
            <b/>
            <sz val="9"/>
            <color indexed="81"/>
            <rFont val="Tahoma"/>
            <family val="2"/>
            <charset val="204"/>
          </rPr>
          <t>Обратный расчет. Износ начисляется линейно (из условия задачи)</t>
        </r>
        <r>
          <rPr>
            <sz val="9"/>
            <color indexed="81"/>
            <rFont val="Tahoma"/>
            <family val="2"/>
            <charset val="204"/>
          </rPr>
          <t xml:space="preserve">
</t>
        </r>
      </text>
    </comment>
    <comment ref="D1674" authorId="0" shapeId="0" xr:uid="{1E0117BC-61BA-4154-9AA5-A47AA23F5B8A}">
      <text>
        <r>
          <rPr>
            <b/>
            <sz val="9"/>
            <color indexed="81"/>
            <rFont val="Tahoma"/>
            <family val="2"/>
            <charset val="204"/>
          </rPr>
          <t>Из условия задачи</t>
        </r>
        <r>
          <rPr>
            <sz val="9"/>
            <color indexed="81"/>
            <rFont val="Tahoma"/>
            <family val="2"/>
            <charset val="204"/>
          </rPr>
          <t xml:space="preserve">
</t>
        </r>
      </text>
    </comment>
    <comment ref="E1674" authorId="0" shapeId="0" xr:uid="{E6B33A95-CA17-453D-9D60-BA5EBA12690A}">
      <text>
        <r>
          <rPr>
            <b/>
            <sz val="9"/>
            <color indexed="81"/>
            <rFont val="Tahoma"/>
            <family val="2"/>
            <charset val="204"/>
          </rPr>
          <t>ЭВ + Остаточный срок</t>
        </r>
        <r>
          <rPr>
            <sz val="9"/>
            <color indexed="81"/>
            <rFont val="Tahoma"/>
            <family val="2"/>
            <charset val="204"/>
          </rPr>
          <t xml:space="preserve">
</t>
        </r>
      </text>
    </comment>
    <comment ref="C1737" authorId="0" shapeId="0" xr:uid="{AC9E4F93-0DF4-45CB-85B2-77BC89D38755}">
      <text>
        <r>
          <rPr>
            <b/>
            <sz val="9"/>
            <color indexed="81"/>
            <rFont val="Tahoma"/>
            <family val="2"/>
            <charset val="204"/>
          </rPr>
          <t>Обратный расчет. Износ начисляется линейно (из условия задачи)</t>
        </r>
        <r>
          <rPr>
            <sz val="9"/>
            <color indexed="81"/>
            <rFont val="Tahoma"/>
            <family val="2"/>
            <charset val="204"/>
          </rPr>
          <t xml:space="preserve">
</t>
        </r>
      </text>
    </comment>
    <comment ref="D1737" authorId="0" shapeId="0" xr:uid="{4B1E32BF-0ED9-48E5-B829-1670F67DFB92}">
      <text>
        <r>
          <rPr>
            <b/>
            <sz val="9"/>
            <color indexed="81"/>
            <rFont val="Tahoma"/>
            <family val="2"/>
            <charset val="204"/>
          </rPr>
          <t>Из условия задачи</t>
        </r>
        <r>
          <rPr>
            <sz val="9"/>
            <color indexed="81"/>
            <rFont val="Tahoma"/>
            <family val="2"/>
            <charset val="204"/>
          </rPr>
          <t xml:space="preserve">
</t>
        </r>
      </text>
    </comment>
    <comment ref="E1737" authorId="0" shapeId="0" xr:uid="{5D413B05-4DFA-4F80-A36A-233FBAA41DE1}">
      <text>
        <r>
          <rPr>
            <b/>
            <sz val="9"/>
            <color indexed="81"/>
            <rFont val="Tahoma"/>
            <family val="2"/>
            <charset val="204"/>
          </rPr>
          <t>ЭВ + Остаточный срок</t>
        </r>
        <r>
          <rPr>
            <sz val="9"/>
            <color indexed="81"/>
            <rFont val="Tahoma"/>
            <family val="2"/>
            <charset val="204"/>
          </rPr>
          <t xml:space="preserve">
</t>
        </r>
      </text>
    </comment>
    <comment ref="C1775" authorId="0" shapeId="0" xr:uid="{E9E36FCD-C2CB-418F-A1E6-0F66AD841C2A}">
      <text>
        <r>
          <rPr>
            <b/>
            <sz val="9"/>
            <color indexed="81"/>
            <rFont val="Tahoma"/>
            <family val="2"/>
            <charset val="204"/>
          </rPr>
          <t>Обратный расчет. Износ начисляется линейно (из условия задачи)</t>
        </r>
        <r>
          <rPr>
            <sz val="9"/>
            <color indexed="81"/>
            <rFont val="Tahoma"/>
            <family val="2"/>
            <charset val="204"/>
          </rPr>
          <t xml:space="preserve">
</t>
        </r>
      </text>
    </comment>
    <comment ref="D1775" authorId="0" shapeId="0" xr:uid="{0635A006-560C-4042-BB03-2266EA93160B}">
      <text>
        <r>
          <rPr>
            <b/>
            <sz val="9"/>
            <color indexed="81"/>
            <rFont val="Tahoma"/>
            <family val="2"/>
            <charset val="204"/>
          </rPr>
          <t>Из условия задачи</t>
        </r>
        <r>
          <rPr>
            <sz val="9"/>
            <color indexed="81"/>
            <rFont val="Tahoma"/>
            <family val="2"/>
            <charset val="204"/>
          </rPr>
          <t xml:space="preserve">
</t>
        </r>
      </text>
    </comment>
    <comment ref="E1775" authorId="0" shapeId="0" xr:uid="{00D28A51-06DB-49BA-8CCC-52203BA3084C}">
      <text>
        <r>
          <rPr>
            <b/>
            <sz val="9"/>
            <color indexed="81"/>
            <rFont val="Tahoma"/>
            <family val="2"/>
            <charset val="204"/>
          </rPr>
          <t>ЭВ + Остаточный срок</t>
        </r>
        <r>
          <rPr>
            <sz val="9"/>
            <color indexed="81"/>
            <rFont val="Tahoma"/>
            <family val="2"/>
            <charset val="204"/>
          </rPr>
          <t xml:space="preserve">
</t>
        </r>
      </text>
    </comment>
    <comment ref="C1828" authorId="0" shapeId="0" xr:uid="{34E8C61E-4F6B-4279-9184-81CECF822F20}">
      <text>
        <r>
          <rPr>
            <b/>
            <sz val="9"/>
            <color indexed="81"/>
            <rFont val="Tahoma"/>
            <family val="2"/>
            <charset val="204"/>
          </rPr>
          <t>Со слов сдавшего экзамен, несмотря на условие, что начисляется в начале каждого года, ответа 117816, который получается, если первый год увеличивать на 10%, НЕ БЫЛО. Но был ответ 107106, который зачли как правильный.</t>
        </r>
        <r>
          <rPr>
            <sz val="9"/>
            <color indexed="81"/>
            <rFont val="Tahoma"/>
            <family val="2"/>
            <charset val="204"/>
          </rPr>
          <t xml:space="preserve">
</t>
        </r>
      </text>
    </comment>
    <comment ref="C1867" authorId="0" shapeId="0" xr:uid="{B6759AA3-1BC1-4D60-9CAF-3E35ACF984AE}">
      <text>
        <r>
          <rPr>
            <b/>
            <sz val="9"/>
            <color indexed="81"/>
            <rFont val="Tahoma"/>
            <family val="2"/>
            <charset val="204"/>
          </rPr>
          <t>Обратный расчет. Износ начисляется линейно (из условия задачи)</t>
        </r>
        <r>
          <rPr>
            <sz val="9"/>
            <color indexed="81"/>
            <rFont val="Tahoma"/>
            <family val="2"/>
            <charset val="204"/>
          </rPr>
          <t xml:space="preserve">
</t>
        </r>
      </text>
    </comment>
    <comment ref="D1867" authorId="0" shapeId="0" xr:uid="{0F77194A-4895-4D3E-BB68-F022A9E6A583}">
      <text>
        <r>
          <rPr>
            <b/>
            <sz val="9"/>
            <color indexed="81"/>
            <rFont val="Tahoma"/>
            <family val="2"/>
            <charset val="204"/>
          </rPr>
          <t>Из условия задачи</t>
        </r>
        <r>
          <rPr>
            <sz val="9"/>
            <color indexed="81"/>
            <rFont val="Tahoma"/>
            <family val="2"/>
            <charset val="204"/>
          </rPr>
          <t xml:space="preserve">
</t>
        </r>
      </text>
    </comment>
    <comment ref="E1867" authorId="0" shapeId="0" xr:uid="{33D63A9D-E1A8-422D-AF73-E77679661C7C}">
      <text>
        <r>
          <rPr>
            <b/>
            <sz val="9"/>
            <color indexed="81"/>
            <rFont val="Tahoma"/>
            <family val="2"/>
            <charset val="204"/>
          </rPr>
          <t>ЭВ + Остаточный срок</t>
        </r>
        <r>
          <rPr>
            <sz val="9"/>
            <color indexed="81"/>
            <rFont val="Tahoma"/>
            <family val="2"/>
            <charset val="204"/>
          </rPr>
          <t xml:space="preserve">
</t>
        </r>
      </text>
    </comment>
    <comment ref="C1926" authorId="0" shapeId="0" xr:uid="{37B5D26A-0339-4A99-88AA-B269F4121F62}">
      <text>
        <r>
          <rPr>
            <b/>
            <sz val="9"/>
            <color indexed="81"/>
            <rFont val="Tahoma"/>
            <family val="2"/>
            <charset val="204"/>
          </rPr>
          <t>Обратный расчет. Износ начисляется линейно (из условия задачи)</t>
        </r>
        <r>
          <rPr>
            <sz val="9"/>
            <color indexed="81"/>
            <rFont val="Tahoma"/>
            <family val="2"/>
            <charset val="204"/>
          </rPr>
          <t xml:space="preserve">
</t>
        </r>
      </text>
    </comment>
    <comment ref="D1926" authorId="0" shapeId="0" xr:uid="{27C8551E-B553-4C7E-8BD5-C2A7BE8F8D9E}">
      <text>
        <r>
          <rPr>
            <b/>
            <sz val="9"/>
            <color indexed="81"/>
            <rFont val="Tahoma"/>
            <family val="2"/>
            <charset val="204"/>
          </rPr>
          <t>Из условия задачи</t>
        </r>
        <r>
          <rPr>
            <sz val="9"/>
            <color indexed="81"/>
            <rFont val="Tahoma"/>
            <family val="2"/>
            <charset val="204"/>
          </rPr>
          <t xml:space="preserve">
</t>
        </r>
      </text>
    </comment>
    <comment ref="E1926" authorId="0" shapeId="0" xr:uid="{AA9BD91B-B0AF-45DC-AE34-4B074A3B6A52}">
      <text>
        <r>
          <rPr>
            <b/>
            <sz val="9"/>
            <color indexed="81"/>
            <rFont val="Tahoma"/>
            <family val="2"/>
            <charset val="204"/>
          </rPr>
          <t>ЭВ + Остаточный срок</t>
        </r>
        <r>
          <rPr>
            <sz val="9"/>
            <color indexed="81"/>
            <rFont val="Tahoma"/>
            <family val="2"/>
            <charset val="204"/>
          </rPr>
          <t xml:space="preserve">
</t>
        </r>
      </text>
    </comment>
    <comment ref="C2524" authorId="0" shapeId="0" xr:uid="{A06E2112-9423-4A5A-926C-42D048670625}">
      <text>
        <r>
          <rPr>
            <b/>
            <sz val="9"/>
            <color indexed="81"/>
            <rFont val="Tahoma"/>
            <family val="2"/>
            <charset val="204"/>
          </rPr>
          <t>Обратный расчет. Износ начисляется линейно (из условия задачи)</t>
        </r>
        <r>
          <rPr>
            <sz val="9"/>
            <color indexed="81"/>
            <rFont val="Tahoma"/>
            <family val="2"/>
            <charset val="204"/>
          </rPr>
          <t xml:space="preserve">
</t>
        </r>
      </text>
    </comment>
    <comment ref="D2524" authorId="0" shapeId="0" xr:uid="{121EBCF0-A3BD-41DE-898F-3F232E53F055}">
      <text>
        <r>
          <rPr>
            <b/>
            <sz val="9"/>
            <color indexed="81"/>
            <rFont val="Tahoma"/>
            <family val="2"/>
            <charset val="204"/>
          </rPr>
          <t>Из условия задачи</t>
        </r>
        <r>
          <rPr>
            <sz val="9"/>
            <color indexed="81"/>
            <rFont val="Tahoma"/>
            <family val="2"/>
            <charset val="204"/>
          </rPr>
          <t xml:space="preserve">
</t>
        </r>
      </text>
    </comment>
    <comment ref="E2524" authorId="0" shapeId="0" xr:uid="{898C7B2B-42F1-4FA1-8055-C438FD98E0FE}">
      <text>
        <r>
          <rPr>
            <b/>
            <sz val="9"/>
            <color indexed="81"/>
            <rFont val="Tahoma"/>
            <family val="2"/>
            <charset val="204"/>
          </rPr>
          <t>ЭВ + Остаточный срок</t>
        </r>
        <r>
          <rPr>
            <sz val="9"/>
            <color indexed="81"/>
            <rFont val="Tahoma"/>
            <family val="2"/>
            <charset val="204"/>
          </rPr>
          <t xml:space="preserve">
</t>
        </r>
      </text>
    </comment>
    <comment ref="C2654" authorId="0" shapeId="0" xr:uid="{0464A909-BFBB-4716-8261-000D4B3FC39E}">
      <text>
        <r>
          <rPr>
            <b/>
            <sz val="9"/>
            <color indexed="81"/>
            <rFont val="Tahoma"/>
            <family val="2"/>
            <charset val="204"/>
          </rPr>
          <t>Обратный расчет. Износ начисляется линейно (из условия задачи)</t>
        </r>
        <r>
          <rPr>
            <sz val="9"/>
            <color indexed="81"/>
            <rFont val="Tahoma"/>
            <family val="2"/>
            <charset val="204"/>
          </rPr>
          <t xml:space="preserve">
</t>
        </r>
      </text>
    </comment>
    <comment ref="D2654" authorId="0" shapeId="0" xr:uid="{04E7A039-2C38-4A1D-AB5C-04B472F5DDF9}">
      <text>
        <r>
          <rPr>
            <b/>
            <sz val="9"/>
            <color indexed="81"/>
            <rFont val="Tahoma"/>
            <family val="2"/>
            <charset val="204"/>
          </rPr>
          <t>Из условия задачи</t>
        </r>
        <r>
          <rPr>
            <sz val="9"/>
            <color indexed="81"/>
            <rFont val="Tahoma"/>
            <family val="2"/>
            <charset val="204"/>
          </rPr>
          <t xml:space="preserve">
</t>
        </r>
      </text>
    </comment>
    <comment ref="E2654" authorId="0" shapeId="0" xr:uid="{D7678C46-C9E8-4291-8E23-E10C74525C4D}">
      <text>
        <r>
          <rPr>
            <b/>
            <sz val="9"/>
            <color indexed="81"/>
            <rFont val="Tahoma"/>
            <family val="2"/>
            <charset val="204"/>
          </rPr>
          <t>ЭВ + Остаточный срок</t>
        </r>
        <r>
          <rPr>
            <sz val="9"/>
            <color indexed="81"/>
            <rFont val="Tahoma"/>
            <family val="2"/>
            <charset val="204"/>
          </rPr>
          <t xml:space="preserve">
</t>
        </r>
      </text>
    </comment>
    <comment ref="C3004" authorId="0" shapeId="0" xr:uid="{CFA663A0-5E32-4B35-83AA-2E146949CBC7}">
      <text>
        <r>
          <rPr>
            <b/>
            <sz val="9"/>
            <color indexed="81"/>
            <rFont val="Tahoma"/>
            <family val="2"/>
            <charset val="204"/>
          </rPr>
          <t>Обратный расчет. Износ начисляется линейно (из условия задачи)</t>
        </r>
        <r>
          <rPr>
            <sz val="9"/>
            <color indexed="81"/>
            <rFont val="Tahoma"/>
            <family val="2"/>
            <charset val="204"/>
          </rPr>
          <t xml:space="preserve">
</t>
        </r>
      </text>
    </comment>
    <comment ref="D3004" authorId="0" shapeId="0" xr:uid="{1C122CDA-3E53-48BB-9362-277FBF261EAD}">
      <text>
        <r>
          <rPr>
            <b/>
            <sz val="9"/>
            <color indexed="81"/>
            <rFont val="Tahoma"/>
            <family val="2"/>
            <charset val="204"/>
          </rPr>
          <t>Из условия задачи</t>
        </r>
        <r>
          <rPr>
            <sz val="9"/>
            <color indexed="81"/>
            <rFont val="Tahoma"/>
            <family val="2"/>
            <charset val="204"/>
          </rPr>
          <t xml:space="preserve">
</t>
        </r>
      </text>
    </comment>
    <comment ref="E3004" authorId="0" shapeId="0" xr:uid="{926FE49A-DEFA-4C1A-9ECE-59B09B7EA882}">
      <text>
        <r>
          <rPr>
            <b/>
            <sz val="9"/>
            <color indexed="81"/>
            <rFont val="Tahoma"/>
            <family val="2"/>
            <charset val="204"/>
          </rPr>
          <t>ЭВ + Остаточный срок</t>
        </r>
        <r>
          <rPr>
            <sz val="9"/>
            <color indexed="81"/>
            <rFont val="Tahoma"/>
            <family val="2"/>
            <charset val="204"/>
          </rPr>
          <t xml:space="preserve">
</t>
        </r>
      </text>
    </comment>
    <comment ref="C3109" authorId="0" shapeId="0" xr:uid="{F5DF1517-4D51-476B-8229-28B4B3F90D21}">
      <text>
        <r>
          <rPr>
            <b/>
            <sz val="9"/>
            <color indexed="81"/>
            <rFont val="Tahoma"/>
            <family val="2"/>
            <charset val="204"/>
          </rPr>
          <t>Обратный расчет. Износ начисляется линейно (из условия задачи)</t>
        </r>
        <r>
          <rPr>
            <sz val="9"/>
            <color indexed="81"/>
            <rFont val="Tahoma"/>
            <family val="2"/>
            <charset val="204"/>
          </rPr>
          <t xml:space="preserve">
</t>
        </r>
      </text>
    </comment>
    <comment ref="D3109" authorId="0" shapeId="0" xr:uid="{B3E03F79-B330-48F7-97D1-9752D5FEF844}">
      <text>
        <r>
          <rPr>
            <b/>
            <sz val="9"/>
            <color indexed="81"/>
            <rFont val="Tahoma"/>
            <family val="2"/>
            <charset val="204"/>
          </rPr>
          <t>Из условия задачи</t>
        </r>
        <r>
          <rPr>
            <sz val="9"/>
            <color indexed="81"/>
            <rFont val="Tahoma"/>
            <family val="2"/>
            <charset val="204"/>
          </rPr>
          <t xml:space="preserve">
</t>
        </r>
      </text>
    </comment>
    <comment ref="E3109" authorId="0" shapeId="0" xr:uid="{93BD3A3A-EF68-41EA-800E-1177A1FFF8DE}">
      <text>
        <r>
          <rPr>
            <b/>
            <sz val="9"/>
            <color indexed="81"/>
            <rFont val="Tahoma"/>
            <family val="2"/>
            <charset val="204"/>
          </rPr>
          <t>ЭВ + Остаточный срок</t>
        </r>
        <r>
          <rPr>
            <sz val="9"/>
            <color indexed="81"/>
            <rFont val="Tahoma"/>
            <family val="2"/>
            <charset val="204"/>
          </rPr>
          <t xml:space="preserve">
</t>
        </r>
      </text>
    </comment>
    <comment ref="C3140" authorId="0" shapeId="0" xr:uid="{C4B507E8-07C6-4D2C-A655-C66AA4750543}">
      <text>
        <r>
          <rPr>
            <b/>
            <sz val="9"/>
            <color indexed="81"/>
            <rFont val="Tahoma"/>
            <family val="2"/>
            <charset val="204"/>
          </rPr>
          <t>Обратный расчет. Износ начисляется линейно (из условия задачи)</t>
        </r>
        <r>
          <rPr>
            <sz val="9"/>
            <color indexed="81"/>
            <rFont val="Tahoma"/>
            <family val="2"/>
            <charset val="204"/>
          </rPr>
          <t xml:space="preserve">
</t>
        </r>
      </text>
    </comment>
    <comment ref="D3140" authorId="0" shapeId="0" xr:uid="{66758BDE-E3DA-4AF6-8E3C-A75ACF31542F}">
      <text>
        <r>
          <rPr>
            <b/>
            <sz val="9"/>
            <color indexed="81"/>
            <rFont val="Tahoma"/>
            <family val="2"/>
            <charset val="204"/>
          </rPr>
          <t>Из условия задачи</t>
        </r>
        <r>
          <rPr>
            <sz val="9"/>
            <color indexed="81"/>
            <rFont val="Tahoma"/>
            <family val="2"/>
            <charset val="204"/>
          </rPr>
          <t xml:space="preserve">
</t>
        </r>
      </text>
    </comment>
    <comment ref="E3140" authorId="0" shapeId="0" xr:uid="{10FC4C29-1EFF-4BEC-989A-57679F4F22BD}">
      <text>
        <r>
          <rPr>
            <b/>
            <sz val="9"/>
            <color indexed="81"/>
            <rFont val="Tahoma"/>
            <family val="2"/>
            <charset val="204"/>
          </rPr>
          <t>ЭВ + Остаточный срок</t>
        </r>
        <r>
          <rPr>
            <sz val="9"/>
            <color indexed="81"/>
            <rFont val="Tahoma"/>
            <family val="2"/>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Алексей Зумберг</author>
  </authors>
  <commentList>
    <comment ref="C40" authorId="0" shapeId="0" xr:uid="{592C8A47-6A0D-4DC2-A36B-4B788C2A76DF}">
      <text>
        <r>
          <rPr>
            <b/>
            <sz val="9"/>
            <color indexed="81"/>
            <rFont val="Tahoma"/>
            <family val="2"/>
            <charset val="204"/>
          </rPr>
          <t>Корректировка по отношению к региону Россия</t>
        </r>
        <r>
          <rPr>
            <sz val="9"/>
            <color indexed="81"/>
            <rFont val="Tahoma"/>
            <family val="2"/>
            <charset val="204"/>
          </rPr>
          <t xml:space="preserve">
</t>
        </r>
      </text>
    </comment>
    <comment ref="C47" authorId="0" shapeId="0" xr:uid="{BFC1EF65-ECB1-4999-9851-63608E5E7424}">
      <text>
        <r>
          <rPr>
            <b/>
            <sz val="9"/>
            <color indexed="81"/>
            <rFont val="Tahoma"/>
            <family val="2"/>
            <charset val="204"/>
          </rPr>
          <t>Корректировка по отношению к состоянию "хорошее"</t>
        </r>
        <r>
          <rPr>
            <sz val="9"/>
            <color indexed="81"/>
            <rFont val="Tahoma"/>
            <family val="2"/>
            <charset val="204"/>
          </rPr>
          <t xml:space="preserve">
</t>
        </r>
      </text>
    </comment>
    <comment ref="D263" authorId="0" shapeId="0" xr:uid="{F48F8E35-28BA-433B-A34A-796228B16A79}">
      <text>
        <r>
          <rPr>
            <b/>
            <sz val="9"/>
            <color indexed="81"/>
            <rFont val="Tahoma"/>
            <family val="2"/>
            <charset val="204"/>
          </rPr>
          <t>Повышающая корректировка при расчете аналога</t>
        </r>
        <r>
          <rPr>
            <sz val="9"/>
            <color indexed="81"/>
            <rFont val="Tahoma"/>
            <family val="2"/>
            <charset val="204"/>
          </rPr>
          <t xml:space="preserve">
</t>
        </r>
      </text>
    </comment>
    <comment ref="C409" authorId="0" shapeId="0" xr:uid="{FFAD7E94-2231-4584-939D-8CB1158C25A2}">
      <text>
        <r>
          <rPr>
            <b/>
            <sz val="9"/>
            <color indexed="81"/>
            <rFont val="Tahoma"/>
            <family val="2"/>
            <charset val="204"/>
          </rPr>
          <t>Корректировка по отношению к региону Россия</t>
        </r>
        <r>
          <rPr>
            <sz val="9"/>
            <color indexed="81"/>
            <rFont val="Tahoma"/>
            <family val="2"/>
            <charset val="204"/>
          </rPr>
          <t xml:space="preserve">
</t>
        </r>
      </text>
    </comment>
    <comment ref="C416" authorId="0" shapeId="0" xr:uid="{906DCEBB-C436-4F1D-B211-E7FE870A2B38}">
      <text>
        <r>
          <rPr>
            <b/>
            <sz val="9"/>
            <color indexed="81"/>
            <rFont val="Tahoma"/>
            <family val="2"/>
            <charset val="204"/>
          </rPr>
          <t>Корректировка по отношению к состоянию "хорошее"</t>
        </r>
        <r>
          <rPr>
            <sz val="9"/>
            <color indexed="81"/>
            <rFont val="Tahoma"/>
            <family val="2"/>
            <charset val="204"/>
          </rPr>
          <t xml:space="preserve">
</t>
        </r>
      </text>
    </comment>
    <comment ref="C553" authorId="0" shapeId="0" xr:uid="{832481EF-4A7A-4D8D-B9F0-ED4D5A69BA02}">
      <text>
        <r>
          <rPr>
            <b/>
            <sz val="9"/>
            <color indexed="81"/>
            <rFont val="Tahoma"/>
            <family val="2"/>
            <charset val="204"/>
          </rPr>
          <t>Корректировка по отношению к региону Россия</t>
        </r>
        <r>
          <rPr>
            <sz val="9"/>
            <color indexed="81"/>
            <rFont val="Tahoma"/>
            <family val="2"/>
            <charset val="204"/>
          </rPr>
          <t xml:space="preserve">
</t>
        </r>
      </text>
    </comment>
    <comment ref="C560" authorId="0" shapeId="0" xr:uid="{E2DDDA48-4CA1-4E29-AB8A-A308A20584DA}">
      <text>
        <r>
          <rPr>
            <b/>
            <sz val="9"/>
            <color indexed="81"/>
            <rFont val="Tahoma"/>
            <family val="2"/>
            <charset val="204"/>
          </rPr>
          <t>Корректировка по отношению к состоянию "хорошее"</t>
        </r>
        <r>
          <rPr>
            <sz val="9"/>
            <color indexed="81"/>
            <rFont val="Tahoma"/>
            <family val="2"/>
            <charset val="204"/>
          </rPr>
          <t xml:space="preserve">
</t>
        </r>
      </text>
    </comment>
    <comment ref="C657" authorId="0" shapeId="0" xr:uid="{FF819E8F-F8CA-425F-B04A-724101E1D1BF}">
      <text>
        <r>
          <rPr>
            <b/>
            <sz val="9"/>
            <color indexed="81"/>
            <rFont val="Tahoma"/>
            <family val="2"/>
            <charset val="204"/>
          </rPr>
          <t>Корректировка по отношению к региону Россия</t>
        </r>
        <r>
          <rPr>
            <sz val="9"/>
            <color indexed="81"/>
            <rFont val="Tahoma"/>
            <family val="2"/>
            <charset val="204"/>
          </rPr>
          <t xml:space="preserve">
</t>
        </r>
      </text>
    </comment>
    <comment ref="C664" authorId="0" shapeId="0" xr:uid="{12EE162D-D768-46BB-8825-9A95D139D7D5}">
      <text>
        <r>
          <rPr>
            <b/>
            <sz val="9"/>
            <color indexed="81"/>
            <rFont val="Tahoma"/>
            <family val="2"/>
            <charset val="204"/>
          </rPr>
          <t>Корректировка по отношению к состоянию "хорошее"</t>
        </r>
        <r>
          <rPr>
            <sz val="9"/>
            <color indexed="81"/>
            <rFont val="Tahoma"/>
            <family val="2"/>
            <charset val="204"/>
          </rPr>
          <t xml:space="preserve">
</t>
        </r>
      </text>
    </comment>
    <comment ref="C845" authorId="0" shapeId="0" xr:uid="{7EA67DD5-4871-4878-956F-765BEB7E0B53}">
      <text>
        <r>
          <rPr>
            <b/>
            <sz val="9"/>
            <color indexed="81"/>
            <rFont val="Tahoma"/>
            <family val="2"/>
            <charset val="204"/>
          </rPr>
          <t>Из условия задачи</t>
        </r>
        <r>
          <rPr>
            <sz val="9"/>
            <color indexed="81"/>
            <rFont val="Tahoma"/>
            <family val="2"/>
            <charset val="204"/>
          </rPr>
          <t xml:space="preserve">
</t>
        </r>
      </text>
    </comment>
    <comment ref="D847" authorId="0" shapeId="0" xr:uid="{3BD53110-BED6-4B30-ACB9-CA17CB952CD1}">
      <text>
        <r>
          <rPr>
            <b/>
            <sz val="9"/>
            <color indexed="81"/>
            <rFont val="Tahoma"/>
            <family val="2"/>
            <charset val="204"/>
          </rPr>
          <t>Не износ/износ, а стоимость/стоимость</t>
        </r>
        <r>
          <rPr>
            <sz val="9"/>
            <color indexed="81"/>
            <rFont val="Tahoma"/>
            <family val="2"/>
            <charset val="204"/>
          </rPr>
          <t xml:space="preserve">
</t>
        </r>
      </text>
    </comment>
    <comment ref="C911" authorId="0" shapeId="0" xr:uid="{98B023BA-6316-4008-BC78-35BEBB4D8BB4}">
      <text>
        <r>
          <rPr>
            <b/>
            <sz val="9"/>
            <color indexed="81"/>
            <rFont val="Tahoma"/>
            <family val="2"/>
            <charset val="204"/>
          </rPr>
          <t>Из условия задачи</t>
        </r>
        <r>
          <rPr>
            <sz val="9"/>
            <color indexed="81"/>
            <rFont val="Tahoma"/>
            <family val="2"/>
            <charset val="204"/>
          </rPr>
          <t xml:space="preserve">
</t>
        </r>
      </text>
    </comment>
    <comment ref="D911" authorId="0" shapeId="0" xr:uid="{F55938BE-75C8-446A-AA78-042F8589F662}">
      <text>
        <r>
          <rPr>
            <b/>
            <sz val="9"/>
            <color indexed="81"/>
            <rFont val="Tahoma"/>
            <family val="2"/>
            <charset val="204"/>
          </rPr>
          <t>Из условия задачи</t>
        </r>
        <r>
          <rPr>
            <sz val="9"/>
            <color indexed="81"/>
            <rFont val="Tahoma"/>
            <family val="2"/>
            <charset val="204"/>
          </rPr>
          <t xml:space="preserve">
</t>
        </r>
      </text>
    </comment>
    <comment ref="D914" authorId="0" shapeId="0" xr:uid="{C91FFCD4-394C-43B5-A1AE-A96B81633532}">
      <text>
        <r>
          <rPr>
            <b/>
            <sz val="9"/>
            <color indexed="81"/>
            <rFont val="Tahoma"/>
            <family val="2"/>
            <charset val="204"/>
          </rPr>
          <t>Не износ/износ, а стоимость/стоимость</t>
        </r>
        <r>
          <rPr>
            <sz val="9"/>
            <color indexed="81"/>
            <rFont val="Tahoma"/>
            <family val="2"/>
            <charset val="204"/>
          </rPr>
          <t xml:space="preserve">
</t>
        </r>
      </text>
    </comment>
    <comment ref="C962" authorId="0" shapeId="0" xr:uid="{4C584F17-41ED-4857-8800-503F6FE9853E}">
      <text>
        <r>
          <rPr>
            <b/>
            <sz val="9"/>
            <color indexed="81"/>
            <rFont val="Tahoma"/>
            <family val="2"/>
            <charset val="204"/>
          </rPr>
          <t>Из условия задачи</t>
        </r>
        <r>
          <rPr>
            <sz val="9"/>
            <color indexed="81"/>
            <rFont val="Tahoma"/>
            <family val="2"/>
            <charset val="204"/>
          </rPr>
          <t xml:space="preserve">
</t>
        </r>
      </text>
    </comment>
    <comment ref="D962" authorId="0" shapeId="0" xr:uid="{2059832E-0004-45CE-9E68-E793E0D97308}">
      <text>
        <r>
          <rPr>
            <b/>
            <sz val="9"/>
            <color indexed="81"/>
            <rFont val="Tahoma"/>
            <family val="2"/>
            <charset val="204"/>
          </rPr>
          <t>Из условия задачи</t>
        </r>
        <r>
          <rPr>
            <sz val="9"/>
            <color indexed="81"/>
            <rFont val="Tahoma"/>
            <family val="2"/>
            <charset val="204"/>
          </rPr>
          <t xml:space="preserve">
</t>
        </r>
      </text>
    </comment>
    <comment ref="D964" authorId="0" shapeId="0" xr:uid="{2C566E42-E701-42DF-98C9-32FD3555F655}">
      <text>
        <r>
          <rPr>
            <b/>
            <sz val="9"/>
            <color indexed="81"/>
            <rFont val="Tahoma"/>
            <family val="2"/>
            <charset val="204"/>
          </rPr>
          <t>Не износ/износ, а стоимость/стоимость</t>
        </r>
        <r>
          <rPr>
            <sz val="9"/>
            <color indexed="81"/>
            <rFont val="Tahoma"/>
            <family val="2"/>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Алексей Зумберг</author>
  </authors>
  <commentList>
    <comment ref="D125" authorId="0" shapeId="0" xr:uid="{F2B64A54-C368-4F84-A2B1-B18B65A683A1}">
      <text>
        <r>
          <rPr>
            <b/>
            <sz val="9"/>
            <color indexed="81"/>
            <rFont val="Tahoma"/>
            <family val="2"/>
            <charset val="204"/>
          </rPr>
          <t>С учетом темпов роста за первый год</t>
        </r>
        <r>
          <rPr>
            <sz val="9"/>
            <color indexed="81"/>
            <rFont val="Tahoma"/>
            <family val="2"/>
            <charset val="204"/>
          </rPr>
          <t xml:space="preserve">
</t>
        </r>
      </text>
    </comment>
    <comment ref="E125" authorId="0" shapeId="0" xr:uid="{380C3EF5-6C14-49F3-A6D0-2CF13B679538}">
      <text>
        <r>
          <rPr>
            <b/>
            <sz val="9"/>
            <color indexed="81"/>
            <rFont val="Tahoma"/>
            <family val="2"/>
            <charset val="204"/>
          </rPr>
          <t>С учетом темпов роста</t>
        </r>
        <r>
          <rPr>
            <sz val="9"/>
            <color indexed="81"/>
            <rFont val="Tahoma"/>
            <family val="2"/>
            <charset val="204"/>
          </rPr>
          <t xml:space="preserve">
</t>
        </r>
      </text>
    </comment>
    <comment ref="D128" authorId="0" shapeId="0" xr:uid="{539488D1-F341-4603-BD4D-F5C6BF2F06E5}">
      <text>
        <r>
          <rPr>
            <b/>
            <sz val="9"/>
            <color indexed="81"/>
            <rFont val="Tahoma"/>
            <family val="2"/>
            <charset val="204"/>
          </rPr>
          <t>С учетом темпов роста за первый год</t>
        </r>
        <r>
          <rPr>
            <sz val="9"/>
            <color indexed="81"/>
            <rFont val="Tahoma"/>
            <family val="2"/>
            <charset val="204"/>
          </rPr>
          <t xml:space="preserve">
</t>
        </r>
      </text>
    </comment>
    <comment ref="E128" authorId="0" shapeId="0" xr:uid="{A93F2DD7-B0D0-441B-874C-B0D7B8A9BF85}">
      <text>
        <r>
          <rPr>
            <b/>
            <sz val="9"/>
            <color indexed="81"/>
            <rFont val="Tahoma"/>
            <family val="2"/>
            <charset val="204"/>
          </rPr>
          <t>С учетом темпов роста</t>
        </r>
        <r>
          <rPr>
            <sz val="9"/>
            <color indexed="81"/>
            <rFont val="Tahoma"/>
            <family val="2"/>
            <charset val="204"/>
          </rPr>
          <t xml:space="preserve">
</t>
        </r>
      </text>
    </comment>
    <comment ref="C129" authorId="0" shapeId="0" xr:uid="{C529321D-501C-4FE4-99B2-CA4FD11D9E4E}">
      <text>
        <r>
          <rPr>
            <b/>
            <sz val="9"/>
            <color indexed="81"/>
            <rFont val="Tahoma"/>
            <family val="2"/>
            <charset val="204"/>
          </rPr>
          <t>Условие "равномерно на протяжении года" также означает дисконтирование на середину периода</t>
        </r>
        <r>
          <rPr>
            <sz val="9"/>
            <color indexed="81"/>
            <rFont val="Tahoma"/>
            <family val="2"/>
            <charset val="204"/>
          </rPr>
          <t xml:space="preserve">
</t>
        </r>
      </text>
    </comment>
    <comment ref="E129" authorId="0" shapeId="0" xr:uid="{844A199F-D9E9-4B8E-A801-F601609E883D}">
      <text>
        <r>
          <rPr>
            <b/>
            <sz val="9"/>
            <color indexed="81"/>
            <rFont val="Tahoma"/>
            <family val="2"/>
            <charset val="204"/>
          </rPr>
          <t>В данной конкретной задаче можно существенно упростить решение, индексируя только поток, поскольку все данные идентичны, в том числе темпы роста цен.</t>
        </r>
        <r>
          <rPr>
            <sz val="9"/>
            <color indexed="81"/>
            <rFont val="Tahoma"/>
            <family val="2"/>
            <charset val="204"/>
          </rPr>
          <t xml:space="preserve">
</t>
        </r>
      </text>
    </comment>
    <comment ref="F142" authorId="0" shapeId="0" xr:uid="{7B2F5BFA-5057-4B40-8B1C-667AF3664EDE}">
      <text>
        <r>
          <rPr>
            <b/>
            <sz val="9"/>
            <color indexed="81"/>
            <rFont val="Tahoma"/>
            <family val="2"/>
            <charset val="204"/>
          </rPr>
          <t>Для удобства дисконтирования можно нумеровать постпрогноз номером последнего прогнозного периода</t>
        </r>
        <r>
          <rPr>
            <sz val="9"/>
            <color indexed="81"/>
            <rFont val="Tahoma"/>
            <family val="2"/>
            <charset val="204"/>
          </rPr>
          <t xml:space="preserve">
</t>
        </r>
      </text>
    </comment>
    <comment ref="D144" authorId="0" shapeId="0" xr:uid="{81D47819-F913-49A6-8F1B-FC82E5DFC062}">
      <text>
        <r>
          <rPr>
            <b/>
            <sz val="9"/>
            <color indexed="81"/>
            <rFont val="Tahoma"/>
            <family val="2"/>
            <charset val="204"/>
          </rPr>
          <t>С учетом  роста 5%</t>
        </r>
        <r>
          <rPr>
            <sz val="9"/>
            <color indexed="81"/>
            <rFont val="Tahoma"/>
            <family val="2"/>
            <charset val="204"/>
          </rPr>
          <t xml:space="preserve">
</t>
        </r>
      </text>
    </comment>
    <comment ref="D146" authorId="0" shapeId="0" xr:uid="{C86500C6-62FE-472F-897F-B3EBD0BDBA5D}">
      <text>
        <r>
          <rPr>
            <b/>
            <sz val="9"/>
            <color indexed="81"/>
            <rFont val="Tahoma"/>
            <family val="2"/>
            <charset val="204"/>
          </rPr>
          <t>С учетом роста 5%</t>
        </r>
        <r>
          <rPr>
            <sz val="9"/>
            <color indexed="81"/>
            <rFont val="Tahoma"/>
            <family val="2"/>
            <charset val="204"/>
          </rPr>
          <t xml:space="preserve">
</t>
        </r>
      </text>
    </comment>
    <comment ref="D148" authorId="0" shapeId="0" xr:uid="{91B2A4C7-2BC0-42EA-A1AD-E0EF0F18E1D3}">
      <text>
        <r>
          <rPr>
            <b/>
            <sz val="9"/>
            <color indexed="81"/>
            <rFont val="Tahoma"/>
            <family val="2"/>
            <charset val="204"/>
          </rPr>
          <t>С учетом роста 5%</t>
        </r>
        <r>
          <rPr>
            <sz val="9"/>
            <color indexed="81"/>
            <rFont val="Tahoma"/>
            <family val="2"/>
            <charset val="204"/>
          </rPr>
          <t xml:space="preserve">
</t>
        </r>
      </text>
    </comment>
    <comment ref="E149" authorId="0" shapeId="0" xr:uid="{B1E4FAA8-5146-466A-92E2-5C044E97AF46}">
      <text>
        <r>
          <rPr>
            <b/>
            <sz val="9"/>
            <color indexed="81"/>
            <rFont val="Tahoma"/>
            <family val="2"/>
            <charset val="204"/>
          </rPr>
          <t>Поскольку растут цены, а не конкретная позиция условия задачи, расчеты можно существенно упростить.
Но, по возможности, лучше так не делать ))
Для второго периода тоже можно было так упростить.</t>
        </r>
      </text>
    </comment>
    <comment ref="F151" authorId="0" shapeId="0" xr:uid="{6E6112F9-3820-4DB0-8D95-182F62640A44}">
      <text>
        <r>
          <rPr>
            <b/>
            <sz val="9"/>
            <color indexed="81"/>
            <rFont val="Tahoma"/>
            <family val="2"/>
            <charset val="204"/>
          </rPr>
          <t>Реверсия всегда НА КОНЕЦ последнего прогнозного периода</t>
        </r>
        <r>
          <rPr>
            <sz val="9"/>
            <color indexed="81"/>
            <rFont val="Tahoma"/>
            <family val="2"/>
            <charset val="204"/>
          </rPr>
          <t xml:space="preserve">
</t>
        </r>
      </text>
    </comment>
    <comment ref="D210" authorId="0" shapeId="0" xr:uid="{DE313682-6BA6-4D70-8A84-1606E31E660B}">
      <text>
        <r>
          <rPr>
            <b/>
            <sz val="9"/>
            <color indexed="81"/>
            <rFont val="Tahoma"/>
            <family val="2"/>
            <charset val="204"/>
          </rPr>
          <t>С учетом роста 5%</t>
        </r>
        <r>
          <rPr>
            <sz val="9"/>
            <color indexed="81"/>
            <rFont val="Tahoma"/>
            <family val="2"/>
            <charset val="204"/>
          </rPr>
          <t xml:space="preserve">
</t>
        </r>
      </text>
    </comment>
    <comment ref="E210" authorId="0" shapeId="0" xr:uid="{045F081B-83AB-4590-AB12-2BB6D1C26813}">
      <text>
        <r>
          <rPr>
            <b/>
            <sz val="9"/>
            <color indexed="81"/>
            <rFont val="Tahoma"/>
            <family val="2"/>
            <charset val="204"/>
          </rPr>
          <t>С учетом роста 5%</t>
        </r>
        <r>
          <rPr>
            <sz val="9"/>
            <color indexed="81"/>
            <rFont val="Tahoma"/>
            <family val="2"/>
            <charset val="204"/>
          </rPr>
          <t xml:space="preserve">
</t>
        </r>
      </text>
    </comment>
    <comment ref="F217" authorId="0" shapeId="0" xr:uid="{87CFE10A-917A-4A5B-BA23-DCC5315B324D}">
      <text>
        <r>
          <rPr>
            <b/>
            <sz val="9"/>
            <color indexed="81"/>
            <rFont val="Tahoma"/>
            <family val="2"/>
            <charset val="204"/>
          </rPr>
          <t>На конец последнего прогнозного периода</t>
        </r>
        <r>
          <rPr>
            <sz val="9"/>
            <color indexed="81"/>
            <rFont val="Tahoma"/>
            <family val="2"/>
            <charset val="204"/>
          </rPr>
          <t xml:space="preserve">
</t>
        </r>
      </text>
    </comment>
    <comment ref="C297" authorId="0" shapeId="0" xr:uid="{81AE0E01-4B6B-4121-A30E-2B089A5A8C3B}">
      <text>
        <r>
          <rPr>
            <b/>
            <sz val="9"/>
            <color indexed="81"/>
            <rFont val="Tahoma"/>
            <family val="2"/>
            <charset val="204"/>
          </rPr>
          <t>Постоянные</t>
        </r>
        <r>
          <rPr>
            <sz val="9"/>
            <color indexed="81"/>
            <rFont val="Tahoma"/>
            <family val="2"/>
            <charset val="204"/>
          </rPr>
          <t xml:space="preserve">
</t>
        </r>
      </text>
    </comment>
    <comment ref="C298" authorId="0" shapeId="0" xr:uid="{749B4B7E-3A57-425C-84EE-00C8209B41C9}">
      <text>
        <r>
          <rPr>
            <b/>
            <sz val="9"/>
            <color indexed="81"/>
            <rFont val="Tahoma"/>
            <family val="2"/>
            <charset val="204"/>
          </rPr>
          <t>Переменные</t>
        </r>
        <r>
          <rPr>
            <sz val="9"/>
            <color indexed="81"/>
            <rFont val="Tahoma"/>
            <family val="2"/>
            <charset val="204"/>
          </rPr>
          <t xml:space="preserve">
</t>
        </r>
      </text>
    </comment>
    <comment ref="C305" authorId="0" shapeId="0" xr:uid="{92A05346-810D-4410-9049-2D50B2BF983D}">
      <text>
        <r>
          <rPr>
            <b/>
            <sz val="9"/>
            <color indexed="81"/>
            <rFont val="Tahoma"/>
            <family val="2"/>
            <charset val="204"/>
          </rPr>
          <t>Продукция</t>
        </r>
        <r>
          <rPr>
            <sz val="9"/>
            <color indexed="81"/>
            <rFont val="Tahoma"/>
            <family val="2"/>
            <charset val="204"/>
          </rPr>
          <t xml:space="preserve">
</t>
        </r>
      </text>
    </comment>
    <comment ref="C309" authorId="0" shapeId="0" xr:uid="{B35E1822-6B55-4DD6-8AD7-151313954A31}">
      <text>
        <r>
          <rPr>
            <b/>
            <sz val="9"/>
            <color indexed="81"/>
            <rFont val="Tahoma"/>
            <family val="2"/>
            <charset val="204"/>
          </rPr>
          <t>ЧОД</t>
        </r>
        <r>
          <rPr>
            <sz val="9"/>
            <color indexed="81"/>
            <rFont val="Tahoma"/>
            <family val="2"/>
            <charset val="204"/>
          </rPr>
          <t xml:space="preserve">
</t>
        </r>
      </text>
    </comment>
    <comment ref="C325" authorId="0" shapeId="0" xr:uid="{C8794BCC-A4D6-4CD5-B280-BB8E0129E0AB}">
      <text>
        <r>
          <rPr>
            <b/>
            <sz val="9"/>
            <color indexed="81"/>
            <rFont val="Tahoma"/>
            <family val="2"/>
            <charset val="204"/>
          </rPr>
          <t>Переменные</t>
        </r>
        <r>
          <rPr>
            <sz val="9"/>
            <color indexed="81"/>
            <rFont val="Tahoma"/>
            <family val="2"/>
            <charset val="204"/>
          </rPr>
          <t xml:space="preserve">
</t>
        </r>
      </text>
    </comment>
    <comment ref="C332" authorId="0" shapeId="0" xr:uid="{7A7872FF-728F-4721-B339-222CFDF0595D}">
      <text>
        <r>
          <rPr>
            <b/>
            <sz val="9"/>
            <color indexed="81"/>
            <rFont val="Tahoma"/>
            <family val="2"/>
            <charset val="204"/>
          </rPr>
          <t>Продукция</t>
        </r>
        <r>
          <rPr>
            <sz val="9"/>
            <color indexed="81"/>
            <rFont val="Tahoma"/>
            <family val="2"/>
            <charset val="204"/>
          </rPr>
          <t xml:space="preserve">
</t>
        </r>
      </text>
    </comment>
    <comment ref="C336" authorId="0" shapeId="0" xr:uid="{0AB5BFFC-B478-484E-9A32-78AE0E10E0FA}">
      <text>
        <r>
          <rPr>
            <b/>
            <sz val="9"/>
            <color indexed="81"/>
            <rFont val="Tahoma"/>
            <family val="2"/>
            <charset val="204"/>
          </rPr>
          <t>ЧОД</t>
        </r>
        <r>
          <rPr>
            <sz val="9"/>
            <color indexed="81"/>
            <rFont val="Tahoma"/>
            <family val="2"/>
            <charset val="204"/>
          </rPr>
          <t xml:space="preserve">
</t>
        </r>
      </text>
    </comment>
    <comment ref="B350" authorId="0" shapeId="0" xr:uid="{6D5144F7-820B-4420-A14E-0180DAF5869F}">
      <text>
        <r>
          <rPr>
            <b/>
            <sz val="9"/>
            <color indexed="81"/>
            <rFont val="Tahoma"/>
            <family val="2"/>
            <charset val="204"/>
          </rPr>
          <t>Индексы изменения цен на продукцию на начало года по отношению к началу предыдущего года</t>
        </r>
        <r>
          <rPr>
            <sz val="9"/>
            <color indexed="81"/>
            <rFont val="Tahoma"/>
            <family val="2"/>
            <charset val="204"/>
          </rPr>
          <t xml:space="preserve">
</t>
        </r>
      </text>
    </comment>
    <comment ref="B351" authorId="0" shapeId="0" xr:uid="{D60655BF-3A63-41B5-B6F9-61734E727EA7}">
      <text>
        <r>
          <rPr>
            <b/>
            <sz val="9"/>
            <color indexed="81"/>
            <rFont val="Tahoma"/>
            <family val="2"/>
            <charset val="204"/>
          </rPr>
          <t>Индексы изменения затрат по выпуску единицы продукции на начало года по отношению к началу предыдущего года</t>
        </r>
        <r>
          <rPr>
            <sz val="9"/>
            <color indexed="81"/>
            <rFont val="Tahoma"/>
            <family val="2"/>
            <charset val="204"/>
          </rPr>
          <t xml:space="preserve">
</t>
        </r>
      </text>
    </comment>
    <comment ref="B352" authorId="0" shapeId="0" xr:uid="{0774FD44-4669-4035-8A06-662BA38E74C3}">
      <text>
        <r>
          <rPr>
            <b/>
            <sz val="9"/>
            <color indexed="81"/>
            <rFont val="Tahoma"/>
            <family val="2"/>
            <charset val="204"/>
          </rPr>
          <t>Индексы изменения затрат на капитальный ремонт на начало года по отношению к началу предыдущего года</t>
        </r>
        <r>
          <rPr>
            <sz val="9"/>
            <color indexed="81"/>
            <rFont val="Tahoma"/>
            <family val="2"/>
            <charset val="204"/>
          </rPr>
          <t xml:space="preserve">
</t>
        </r>
      </text>
    </comment>
    <comment ref="C356" authorId="0" shapeId="0" xr:uid="{9ABCFF9B-3DAF-47E3-B6B3-ABCAA580FD4E}">
      <text>
        <r>
          <rPr>
            <b/>
            <sz val="9"/>
            <color indexed="81"/>
            <rFont val="Tahoma"/>
            <family val="2"/>
            <charset val="204"/>
          </rPr>
          <t>Один месяц регламентного обслуживания</t>
        </r>
        <r>
          <rPr>
            <sz val="9"/>
            <color indexed="81"/>
            <rFont val="Tahoma"/>
            <family val="2"/>
            <charset val="204"/>
          </rPr>
          <t xml:space="preserve">
</t>
        </r>
      </text>
    </comment>
    <comment ref="D356" authorId="0" shapeId="0" xr:uid="{99D29FA7-DB3A-4AD9-9154-58F2A0CE8290}">
      <text>
        <r>
          <rPr>
            <b/>
            <sz val="9"/>
            <color indexed="81"/>
            <rFont val="Tahoma"/>
            <family val="2"/>
            <charset val="204"/>
          </rPr>
          <t>Один месяц регламентного обслуживания</t>
        </r>
        <r>
          <rPr>
            <sz val="9"/>
            <color indexed="81"/>
            <rFont val="Tahoma"/>
            <family val="2"/>
            <charset val="204"/>
          </rPr>
          <t xml:space="preserve">
</t>
        </r>
      </text>
    </comment>
    <comment ref="E356" authorId="0" shapeId="0" xr:uid="{3F45839E-E7EA-4FD5-8C6D-45BC1F989655}">
      <text>
        <r>
          <rPr>
            <b/>
            <sz val="9"/>
            <color indexed="81"/>
            <rFont val="Tahoma"/>
            <family val="2"/>
            <charset val="204"/>
          </rPr>
          <t>Один месяц регламентного обслуживания</t>
        </r>
        <r>
          <rPr>
            <sz val="9"/>
            <color indexed="81"/>
            <rFont val="Tahoma"/>
            <family val="2"/>
            <charset val="204"/>
          </rPr>
          <t xml:space="preserve">
</t>
        </r>
      </text>
    </comment>
    <comment ref="F356" authorId="0" shapeId="0" xr:uid="{A16186E4-568B-4408-943A-89218999C4F9}">
      <text>
        <r>
          <rPr>
            <b/>
            <sz val="9"/>
            <color indexed="81"/>
            <rFont val="Tahoma"/>
            <family val="2"/>
            <charset val="204"/>
          </rPr>
          <t>Капремонт три месяца. Регламентного обслуживания нет.</t>
        </r>
        <r>
          <rPr>
            <sz val="9"/>
            <color indexed="81"/>
            <rFont val="Tahoma"/>
            <family val="2"/>
            <charset val="204"/>
          </rPr>
          <t xml:space="preserve">
</t>
        </r>
      </text>
    </comment>
    <comment ref="G356" authorId="0" shapeId="0" xr:uid="{683C1FC8-883B-4C0A-BA0B-643A77001269}">
      <text>
        <r>
          <rPr>
            <b/>
            <sz val="9"/>
            <color indexed="81"/>
            <rFont val="Tahoma"/>
            <family val="2"/>
            <charset val="204"/>
          </rPr>
          <t>Два месяца регламентного обслуживания</t>
        </r>
        <r>
          <rPr>
            <sz val="9"/>
            <color indexed="81"/>
            <rFont val="Tahoma"/>
            <family val="2"/>
            <charset val="204"/>
          </rPr>
          <t xml:space="preserve">
</t>
        </r>
      </text>
    </comment>
    <comment ref="H356" authorId="0" shapeId="0" xr:uid="{21DC219B-7FC5-4815-B57D-F42CA65C119F}">
      <text>
        <r>
          <rPr>
            <b/>
            <sz val="9"/>
            <color indexed="81"/>
            <rFont val="Tahoma"/>
            <family val="2"/>
            <charset val="204"/>
          </rPr>
          <t>Два месяца регламентного обслуживания</t>
        </r>
        <r>
          <rPr>
            <sz val="9"/>
            <color indexed="81"/>
            <rFont val="Tahoma"/>
            <family val="2"/>
            <charset val="204"/>
          </rPr>
          <t xml:space="preserve">
</t>
        </r>
      </text>
    </comment>
    <comment ref="C360" authorId="0" shapeId="0" xr:uid="{18DE0146-2FD4-4EF4-A9DE-43C7E7F02D33}">
      <text>
        <r>
          <rPr>
            <b/>
            <sz val="9"/>
            <color indexed="81"/>
            <rFont val="Tahoma"/>
            <family val="2"/>
            <charset val="204"/>
          </rPr>
          <t>Не учитываем для первого года! Читаем условие: стоимость единицы по состоянию на 01.01.17</t>
        </r>
        <r>
          <rPr>
            <sz val="9"/>
            <color indexed="81"/>
            <rFont val="Tahoma"/>
            <family val="2"/>
            <charset val="204"/>
          </rPr>
          <t xml:space="preserve">
</t>
        </r>
      </text>
    </comment>
    <comment ref="H361" authorId="0" shapeId="0" xr:uid="{7AD8DD50-4A67-4AB1-B8B0-B48792BB9DBD}">
      <text>
        <r>
          <rPr>
            <b/>
            <sz val="9"/>
            <color indexed="81"/>
            <rFont val="Tahoma"/>
            <family val="2"/>
            <charset val="204"/>
          </rPr>
          <t>Можно умножать стоимость предыдущего периода на текущий индекс</t>
        </r>
        <r>
          <rPr>
            <sz val="9"/>
            <color indexed="81"/>
            <rFont val="Tahoma"/>
            <family val="2"/>
            <charset val="204"/>
          </rPr>
          <t xml:space="preserve">
</t>
        </r>
      </text>
    </comment>
    <comment ref="C364" authorId="0" shapeId="0" xr:uid="{099A6A45-6657-4FF7-B4D4-BF3CE345E2AD}">
      <text>
        <r>
          <rPr>
            <b/>
            <sz val="9"/>
            <color indexed="81"/>
            <rFont val="Tahoma"/>
            <family val="2"/>
            <charset val="204"/>
          </rPr>
          <t>Первый год не индексируем, поскольку "в 2017 году составляют 130 руб./шт."</t>
        </r>
        <r>
          <rPr>
            <sz val="9"/>
            <color indexed="81"/>
            <rFont val="Tahoma"/>
            <family val="2"/>
            <charset val="204"/>
          </rPr>
          <t xml:space="preserve">
</t>
        </r>
      </text>
    </comment>
    <comment ref="C367" authorId="0" shapeId="0" xr:uid="{6B52FD24-C8CC-4AAC-AB29-8C6880A4C415}">
      <text>
        <r>
          <rPr>
            <sz val="9"/>
            <color indexed="81"/>
            <rFont val="Tahoma"/>
            <family val="2"/>
            <charset val="204"/>
          </rPr>
          <t xml:space="preserve">Расчет внутри ячейки
</t>
        </r>
      </text>
    </comment>
    <comment ref="B423" authorId="0" shapeId="0" xr:uid="{4C5585FD-960B-4DA3-9D6E-9CF72A5CD410}">
      <text>
        <r>
          <rPr>
            <b/>
            <sz val="9"/>
            <color indexed="81"/>
            <rFont val="Tahoma"/>
            <family val="2"/>
            <charset val="204"/>
          </rPr>
          <t>Индексы изменения цен на продукцию на начало года по отношению к началу предыдущего года</t>
        </r>
        <r>
          <rPr>
            <sz val="9"/>
            <color indexed="81"/>
            <rFont val="Tahoma"/>
            <family val="2"/>
            <charset val="204"/>
          </rPr>
          <t xml:space="preserve">
</t>
        </r>
      </text>
    </comment>
    <comment ref="B424" authorId="0" shapeId="0" xr:uid="{D3625297-419F-4DC5-B16F-F2AB8ABB608A}">
      <text>
        <r>
          <rPr>
            <b/>
            <sz val="9"/>
            <color indexed="81"/>
            <rFont val="Tahoma"/>
            <family val="2"/>
            <charset val="204"/>
          </rPr>
          <t>Индексы изменения затрат по выпуску единицы продукции на начало года по отношению к началу предыдущего года</t>
        </r>
        <r>
          <rPr>
            <sz val="9"/>
            <color indexed="81"/>
            <rFont val="Tahoma"/>
            <family val="2"/>
            <charset val="204"/>
          </rPr>
          <t xml:space="preserve">
</t>
        </r>
      </text>
    </comment>
    <comment ref="B425" authorId="0" shapeId="0" xr:uid="{31881971-DAEF-4567-8242-08BC06495CB5}">
      <text>
        <r>
          <rPr>
            <b/>
            <sz val="9"/>
            <color indexed="81"/>
            <rFont val="Tahoma"/>
            <family val="2"/>
            <charset val="204"/>
          </rPr>
          <t>Индексы изменения затрат на капитальный ремонт на начало года по отношению к началу предыдущего года</t>
        </r>
        <r>
          <rPr>
            <sz val="9"/>
            <color indexed="81"/>
            <rFont val="Tahoma"/>
            <family val="2"/>
            <charset val="204"/>
          </rPr>
          <t xml:space="preserve">
</t>
        </r>
      </text>
    </comment>
    <comment ref="C429" authorId="0" shapeId="0" xr:uid="{598F819F-BC68-45A5-A152-1451E07DD2D2}">
      <text>
        <r>
          <rPr>
            <b/>
            <sz val="9"/>
            <color indexed="81"/>
            <rFont val="Tahoma"/>
            <family val="2"/>
            <charset val="204"/>
          </rPr>
          <t>Один месяц регламентного обслуживания</t>
        </r>
        <r>
          <rPr>
            <sz val="9"/>
            <color indexed="81"/>
            <rFont val="Tahoma"/>
            <family val="2"/>
            <charset val="204"/>
          </rPr>
          <t xml:space="preserve">
</t>
        </r>
      </text>
    </comment>
    <comment ref="D429" authorId="0" shapeId="0" xr:uid="{E5671769-3AF0-40B7-A104-397218DBB105}">
      <text>
        <r>
          <rPr>
            <b/>
            <sz val="9"/>
            <color indexed="81"/>
            <rFont val="Tahoma"/>
            <family val="2"/>
            <charset val="204"/>
          </rPr>
          <t>Один месяц регламентного обслуживания</t>
        </r>
        <r>
          <rPr>
            <sz val="9"/>
            <color indexed="81"/>
            <rFont val="Tahoma"/>
            <family val="2"/>
            <charset val="204"/>
          </rPr>
          <t xml:space="preserve">
</t>
        </r>
      </text>
    </comment>
    <comment ref="E429" authorId="0" shapeId="0" xr:uid="{962A7B37-6695-43E7-8B8A-7B0628324A5C}">
      <text>
        <r>
          <rPr>
            <b/>
            <sz val="9"/>
            <color indexed="81"/>
            <rFont val="Tahoma"/>
            <family val="2"/>
            <charset val="204"/>
          </rPr>
          <t>Один месяц регламентного обслуживания</t>
        </r>
        <r>
          <rPr>
            <sz val="9"/>
            <color indexed="81"/>
            <rFont val="Tahoma"/>
            <family val="2"/>
            <charset val="204"/>
          </rPr>
          <t xml:space="preserve">
</t>
        </r>
      </text>
    </comment>
    <comment ref="F429" authorId="0" shapeId="0" xr:uid="{3C5067A2-7A78-4C63-856F-CA48EAB852B2}">
      <text>
        <r>
          <rPr>
            <b/>
            <sz val="9"/>
            <color indexed="81"/>
            <rFont val="Tahoma"/>
            <family val="2"/>
            <charset val="204"/>
          </rPr>
          <t>Капремонт три месяца. Регламентного обслуживания нет.</t>
        </r>
        <r>
          <rPr>
            <sz val="9"/>
            <color indexed="81"/>
            <rFont val="Tahoma"/>
            <family val="2"/>
            <charset val="204"/>
          </rPr>
          <t xml:space="preserve">
</t>
        </r>
      </text>
    </comment>
    <comment ref="G429" authorId="0" shapeId="0" xr:uid="{8A801B44-CA64-43B8-9DC6-85EE673F1E78}">
      <text>
        <r>
          <rPr>
            <b/>
            <sz val="9"/>
            <color indexed="81"/>
            <rFont val="Tahoma"/>
            <family val="2"/>
            <charset val="204"/>
          </rPr>
          <t>Два месяца регламентного обслуживания</t>
        </r>
        <r>
          <rPr>
            <sz val="9"/>
            <color indexed="81"/>
            <rFont val="Tahoma"/>
            <family val="2"/>
            <charset val="204"/>
          </rPr>
          <t xml:space="preserve">
</t>
        </r>
      </text>
    </comment>
    <comment ref="H429" authorId="0" shapeId="0" xr:uid="{54A49517-D282-4CAE-AE81-899CD4E4962F}">
      <text>
        <r>
          <rPr>
            <b/>
            <sz val="9"/>
            <color indexed="81"/>
            <rFont val="Tahoma"/>
            <family val="2"/>
            <charset val="204"/>
          </rPr>
          <t>Два месяца регламентного обслуживания</t>
        </r>
        <r>
          <rPr>
            <sz val="9"/>
            <color indexed="81"/>
            <rFont val="Tahoma"/>
            <family val="2"/>
            <charset val="204"/>
          </rPr>
          <t xml:space="preserve">
</t>
        </r>
      </text>
    </comment>
    <comment ref="C433" authorId="0" shapeId="0" xr:uid="{74C9CF1D-B54E-4157-93FE-D63233567A29}">
      <text>
        <r>
          <rPr>
            <b/>
            <sz val="9"/>
            <color indexed="81"/>
            <rFont val="Tahoma"/>
            <family val="2"/>
            <charset val="204"/>
          </rPr>
          <t>Не учитываем для первого года! Читаем условие: стоимость единицы по состоянию на 01.01.17</t>
        </r>
        <r>
          <rPr>
            <sz val="9"/>
            <color indexed="81"/>
            <rFont val="Tahoma"/>
            <family val="2"/>
            <charset val="204"/>
          </rPr>
          <t xml:space="preserve">
</t>
        </r>
      </text>
    </comment>
    <comment ref="C436" authorId="0" shapeId="0" xr:uid="{A1D19BBF-DBB8-4F7B-834B-DD9A25ADF651}">
      <text>
        <r>
          <rPr>
            <b/>
            <sz val="9"/>
            <color indexed="81"/>
            <rFont val="Tahoma"/>
            <family val="2"/>
            <charset val="204"/>
          </rPr>
          <t>Первый год не индексируем</t>
        </r>
        <r>
          <rPr>
            <sz val="9"/>
            <color indexed="81"/>
            <rFont val="Tahoma"/>
            <family val="2"/>
            <charset val="204"/>
          </rPr>
          <t xml:space="preserve">
</t>
        </r>
      </text>
    </comment>
    <comment ref="F440" authorId="0" shapeId="0" xr:uid="{07943FF2-DE98-436E-93B1-29891B47747C}">
      <text>
        <r>
          <rPr>
            <b/>
            <sz val="9"/>
            <color indexed="81"/>
            <rFont val="Tahoma"/>
            <family val="2"/>
            <charset val="204"/>
          </rPr>
          <t>В условии затраты на капремонт в ценах на дату капремонта</t>
        </r>
        <r>
          <rPr>
            <sz val="9"/>
            <color indexed="81"/>
            <rFont val="Tahoma"/>
            <family val="2"/>
            <charset val="204"/>
          </rPr>
          <t xml:space="preserve">
</t>
        </r>
      </text>
    </comment>
    <comment ref="B649" authorId="0" shapeId="0" xr:uid="{48479E82-D3FC-499A-B0FA-079D2CC9EB7A}">
      <text>
        <r>
          <rPr>
            <b/>
            <sz val="9"/>
            <color indexed="81"/>
            <rFont val="Tahoma"/>
            <family val="2"/>
            <charset val="204"/>
          </rPr>
          <t>Индексы изменения цен на продукцию на начало года по отношению к началу предыдущего года</t>
        </r>
        <r>
          <rPr>
            <sz val="9"/>
            <color indexed="81"/>
            <rFont val="Tahoma"/>
            <family val="2"/>
            <charset val="204"/>
          </rPr>
          <t xml:space="preserve">
</t>
        </r>
      </text>
    </comment>
    <comment ref="B650" authorId="0" shapeId="0" xr:uid="{B537D4AA-0D61-4A2E-8610-056B6A190F83}">
      <text>
        <r>
          <rPr>
            <b/>
            <sz val="9"/>
            <color indexed="81"/>
            <rFont val="Tahoma"/>
            <family val="2"/>
            <charset val="204"/>
          </rPr>
          <t>Индексы изменения затрат по выпуску единицы продукции на начало года по отношению к началу предыдущего года</t>
        </r>
        <r>
          <rPr>
            <sz val="9"/>
            <color indexed="81"/>
            <rFont val="Tahoma"/>
            <family val="2"/>
            <charset val="204"/>
          </rPr>
          <t xml:space="preserve">
</t>
        </r>
      </text>
    </comment>
    <comment ref="B651" authorId="0" shapeId="0" xr:uid="{9704E7E7-C95A-433F-B0FE-E4822BB4D021}">
      <text>
        <r>
          <rPr>
            <b/>
            <sz val="9"/>
            <color indexed="81"/>
            <rFont val="Tahoma"/>
            <family val="2"/>
            <charset val="204"/>
          </rPr>
          <t>Индексы изменения затрат на капитальный ремонт на начало года по отношению к началу предыдущего года</t>
        </r>
        <r>
          <rPr>
            <sz val="9"/>
            <color indexed="81"/>
            <rFont val="Tahoma"/>
            <family val="2"/>
            <charset val="204"/>
          </rPr>
          <t xml:space="preserve">
</t>
        </r>
      </text>
    </comment>
    <comment ref="C654" authorId="0" shapeId="0" xr:uid="{ED8D2577-AE84-4115-A9BC-36C55C551673}">
      <text>
        <r>
          <rPr>
            <b/>
            <sz val="9"/>
            <color indexed="81"/>
            <rFont val="Tahoma"/>
            <family val="2"/>
            <charset val="204"/>
          </rPr>
          <t>Один месяц регламентного обслуживания</t>
        </r>
        <r>
          <rPr>
            <sz val="9"/>
            <color indexed="81"/>
            <rFont val="Tahoma"/>
            <family val="2"/>
            <charset val="204"/>
          </rPr>
          <t xml:space="preserve">
</t>
        </r>
      </text>
    </comment>
    <comment ref="D654" authorId="0" shapeId="0" xr:uid="{8AD5B262-6D0F-4C23-83B9-4F9D9825AC8B}">
      <text>
        <r>
          <rPr>
            <b/>
            <sz val="9"/>
            <color indexed="81"/>
            <rFont val="Tahoma"/>
            <family val="2"/>
            <charset val="204"/>
          </rPr>
          <t>Один месяц регламентного обслуживания</t>
        </r>
        <r>
          <rPr>
            <sz val="9"/>
            <color indexed="81"/>
            <rFont val="Tahoma"/>
            <family val="2"/>
            <charset val="204"/>
          </rPr>
          <t xml:space="preserve">
</t>
        </r>
      </text>
    </comment>
    <comment ref="E654" authorId="0" shapeId="0" xr:uid="{935C0E18-5563-438A-A1C5-8C1A485041E4}">
      <text>
        <r>
          <rPr>
            <b/>
            <sz val="9"/>
            <color indexed="81"/>
            <rFont val="Tahoma"/>
            <family val="2"/>
            <charset val="204"/>
          </rPr>
          <t>Один месяц регламентного обслуживания</t>
        </r>
        <r>
          <rPr>
            <sz val="9"/>
            <color indexed="81"/>
            <rFont val="Tahoma"/>
            <family val="2"/>
            <charset val="204"/>
          </rPr>
          <t xml:space="preserve">
</t>
        </r>
      </text>
    </comment>
    <comment ref="F654" authorId="0" shapeId="0" xr:uid="{0455D3A4-D063-4A5F-8B8E-D1762860C93B}">
      <text>
        <r>
          <rPr>
            <b/>
            <sz val="9"/>
            <color indexed="81"/>
            <rFont val="Tahoma"/>
            <family val="2"/>
            <charset val="204"/>
          </rPr>
          <t>Капремонт 4 месяца. Регламентного обслуживания нет.</t>
        </r>
      </text>
    </comment>
    <comment ref="G654" authorId="0" shapeId="0" xr:uid="{C8BD1214-823A-4719-B81A-650242E1C472}">
      <text>
        <r>
          <rPr>
            <b/>
            <sz val="9"/>
            <color indexed="81"/>
            <rFont val="Tahoma"/>
            <family val="2"/>
            <charset val="204"/>
          </rPr>
          <t>Три месяца регламентного обслуживания</t>
        </r>
        <r>
          <rPr>
            <sz val="9"/>
            <color indexed="81"/>
            <rFont val="Tahoma"/>
            <family val="2"/>
            <charset val="204"/>
          </rPr>
          <t xml:space="preserve">
</t>
        </r>
      </text>
    </comment>
    <comment ref="H654" authorId="0" shapeId="0" xr:uid="{CD4814D2-5B3E-4100-A3D6-11885080BE78}">
      <text>
        <r>
          <rPr>
            <b/>
            <sz val="9"/>
            <color indexed="81"/>
            <rFont val="Tahoma"/>
            <family val="2"/>
            <charset val="204"/>
          </rPr>
          <t>Три месяца регламентного обслуживания</t>
        </r>
        <r>
          <rPr>
            <sz val="9"/>
            <color indexed="81"/>
            <rFont val="Tahoma"/>
            <family val="2"/>
            <charset val="204"/>
          </rPr>
          <t xml:space="preserve">
</t>
        </r>
      </text>
    </comment>
    <comment ref="C658" authorId="0" shapeId="0" xr:uid="{E62228BD-8EDC-434A-8C34-69E0182E97F1}">
      <text>
        <r>
          <rPr>
            <b/>
            <sz val="9"/>
            <color indexed="81"/>
            <rFont val="Tahoma"/>
            <family val="2"/>
            <charset val="204"/>
          </rPr>
          <t>Не учитываем для первого года! Читаем условие: стоимость единицы по состоянию на 01.01.17</t>
        </r>
        <r>
          <rPr>
            <sz val="9"/>
            <color indexed="81"/>
            <rFont val="Tahoma"/>
            <family val="2"/>
            <charset val="204"/>
          </rPr>
          <t xml:space="preserve">
</t>
        </r>
      </text>
    </comment>
    <comment ref="C661" authorId="0" shapeId="0" xr:uid="{610B405A-E9DB-41C5-8CF0-2B059349012D}">
      <text>
        <r>
          <rPr>
            <b/>
            <sz val="9"/>
            <color indexed="81"/>
            <rFont val="Tahoma"/>
            <family val="2"/>
            <charset val="204"/>
          </rPr>
          <t>Первый год не индексируем, поскольку указано, что "в 2017 году составляют"</t>
        </r>
        <r>
          <rPr>
            <sz val="9"/>
            <color indexed="81"/>
            <rFont val="Tahoma"/>
            <family val="2"/>
            <charset val="204"/>
          </rPr>
          <t xml:space="preserve">
</t>
        </r>
      </text>
    </comment>
    <comment ref="F665" authorId="0" shapeId="0" xr:uid="{41F7DBF8-83D5-4FEB-8434-F72F36E9309C}">
      <text>
        <r>
          <rPr>
            <b/>
            <sz val="9"/>
            <color indexed="81"/>
            <rFont val="Tahoma"/>
            <family val="2"/>
            <charset val="204"/>
          </rPr>
          <t>В условии затраты на капремонт в ценах на дату капремонта</t>
        </r>
        <r>
          <rPr>
            <sz val="9"/>
            <color indexed="81"/>
            <rFont val="Tahoma"/>
            <family val="2"/>
            <charset val="204"/>
          </rPr>
          <t xml:space="preserve">
</t>
        </r>
      </text>
    </comment>
    <comment ref="B677" authorId="0" shapeId="0" xr:uid="{F7F555B3-3583-4E38-8451-4E02B09267A0}">
      <text>
        <r>
          <rPr>
            <sz val="9"/>
            <color indexed="81"/>
            <rFont val="Tahoma"/>
            <family val="2"/>
            <charset val="204"/>
          </rPr>
          <t xml:space="preserve">Индексы цен на продукцию на 1 января указанного года по отношению к 1 января предыдущего года
</t>
        </r>
      </text>
    </comment>
    <comment ref="B678" authorId="0" shapeId="0" xr:uid="{2A4479FD-02F6-49F8-A9CC-28E107A577AF}">
      <text>
        <r>
          <rPr>
            <b/>
            <sz val="9"/>
            <color indexed="81"/>
            <rFont val="Tahoma"/>
            <family val="2"/>
            <charset val="204"/>
          </rPr>
          <t>Индексы цен на расходы производства на 1 января указанного года по отношению к 1 января предыдущего года</t>
        </r>
      </text>
    </comment>
    <comment ref="B679" authorId="0" shapeId="0" xr:uid="{EEF2F259-9B47-488E-BB38-6B85B40C30D2}">
      <text>
        <r>
          <rPr>
            <b/>
            <sz val="9"/>
            <color indexed="81"/>
            <rFont val="Tahoma"/>
            <family val="2"/>
            <charset val="204"/>
          </rPr>
          <t>Индексы цен на капитальный ремонт оборудования на 1 января указанного года по отношению к 1 января предыдущего года</t>
        </r>
      </text>
    </comment>
    <comment ref="C682" authorId="0" shapeId="0" xr:uid="{877AB4BB-57A4-4213-9BE3-1BCD48835B1B}">
      <text>
        <r>
          <rPr>
            <b/>
            <sz val="9"/>
            <color indexed="81"/>
            <rFont val="Tahoma"/>
            <family val="2"/>
            <charset val="204"/>
          </rPr>
          <t>Два месяца регламентного обслуживания</t>
        </r>
        <r>
          <rPr>
            <sz val="9"/>
            <color indexed="81"/>
            <rFont val="Tahoma"/>
            <family val="2"/>
            <charset val="204"/>
          </rPr>
          <t xml:space="preserve">
</t>
        </r>
      </text>
    </comment>
    <comment ref="D682" authorId="0" shapeId="0" xr:uid="{8220CE8B-2893-4406-B528-D4080F79EC37}">
      <text>
        <r>
          <rPr>
            <b/>
            <sz val="9"/>
            <color indexed="81"/>
            <rFont val="Tahoma"/>
            <family val="2"/>
            <charset val="204"/>
          </rPr>
          <t>Два месяца регламентного обслуживания</t>
        </r>
        <r>
          <rPr>
            <sz val="9"/>
            <color indexed="81"/>
            <rFont val="Tahoma"/>
            <family val="2"/>
            <charset val="204"/>
          </rPr>
          <t xml:space="preserve">
</t>
        </r>
      </text>
    </comment>
    <comment ref="E682" authorId="0" shapeId="0" xr:uid="{D3206D49-BD16-4DBD-AA7A-83AF995505C1}">
      <text>
        <r>
          <rPr>
            <b/>
            <sz val="9"/>
            <color indexed="81"/>
            <rFont val="Tahoma"/>
            <family val="2"/>
            <charset val="204"/>
          </rPr>
          <t>Два месяца регламентного обслуживания</t>
        </r>
        <r>
          <rPr>
            <sz val="9"/>
            <color indexed="81"/>
            <rFont val="Tahoma"/>
            <family val="2"/>
            <charset val="204"/>
          </rPr>
          <t xml:space="preserve">
</t>
        </r>
      </text>
    </comment>
    <comment ref="F682" authorId="0" shapeId="0" xr:uid="{9FE64D3D-2AE7-47AB-85F0-E0FE9F52D790}">
      <text>
        <r>
          <rPr>
            <b/>
            <sz val="9"/>
            <color indexed="81"/>
            <rFont val="Tahoma"/>
            <family val="2"/>
            <charset val="204"/>
          </rPr>
          <t>Капремонт 4 месяца. Регламентного обслуживания нет.</t>
        </r>
      </text>
    </comment>
    <comment ref="G682" authorId="0" shapeId="0" xr:uid="{CFF52F3D-FE5D-4420-A0C3-D77891581C91}">
      <text>
        <r>
          <rPr>
            <b/>
            <sz val="9"/>
            <color indexed="81"/>
            <rFont val="Tahoma"/>
            <family val="2"/>
            <charset val="204"/>
          </rPr>
          <t>Три месяца регламентного обслуживания</t>
        </r>
        <r>
          <rPr>
            <sz val="9"/>
            <color indexed="81"/>
            <rFont val="Tahoma"/>
            <family val="2"/>
            <charset val="204"/>
          </rPr>
          <t xml:space="preserve">
</t>
        </r>
      </text>
    </comment>
    <comment ref="H682" authorId="0" shapeId="0" xr:uid="{425DBC25-5FE2-43BC-8AC5-1EB6B8C60076}">
      <text>
        <r>
          <rPr>
            <b/>
            <sz val="9"/>
            <color indexed="81"/>
            <rFont val="Tahoma"/>
            <family val="2"/>
            <charset val="204"/>
          </rPr>
          <t>Три месяца регламентного обслуживания</t>
        </r>
        <r>
          <rPr>
            <sz val="9"/>
            <color indexed="81"/>
            <rFont val="Tahoma"/>
            <family val="2"/>
            <charset val="204"/>
          </rPr>
          <t xml:space="preserve">
</t>
        </r>
      </text>
    </comment>
    <comment ref="C686" authorId="0" shapeId="0" xr:uid="{7219289F-64FC-404D-AD50-EBFBCB97A506}">
      <text>
        <r>
          <rPr>
            <b/>
            <sz val="9"/>
            <color indexed="81"/>
            <rFont val="Tahoma"/>
            <family val="2"/>
            <charset val="204"/>
          </rPr>
          <t>Не учитываем для первого года! Читаем условие: стоимость единицы по состоянию на 01.01.17</t>
        </r>
        <r>
          <rPr>
            <sz val="9"/>
            <color indexed="81"/>
            <rFont val="Tahoma"/>
            <family val="2"/>
            <charset val="204"/>
          </rPr>
          <t xml:space="preserve">
</t>
        </r>
      </text>
    </comment>
    <comment ref="C689" authorId="0" shapeId="0" xr:uid="{3C3BE5A9-C7A4-4B39-994B-A4E0BBFA5000}">
      <text>
        <r>
          <rPr>
            <b/>
            <sz val="9"/>
            <color indexed="81"/>
            <rFont val="Tahoma"/>
            <family val="2"/>
            <charset val="204"/>
          </rPr>
          <t>Первый год не индексируем, поскольку указано, что "в 2017 году составляют"</t>
        </r>
        <r>
          <rPr>
            <sz val="9"/>
            <color indexed="81"/>
            <rFont val="Tahoma"/>
            <family val="2"/>
            <charset val="204"/>
          </rPr>
          <t xml:space="preserve">
</t>
        </r>
      </text>
    </comment>
    <comment ref="F693" authorId="0" shapeId="0" xr:uid="{EB549C1D-7C26-4497-BC34-2576B1DC5C1F}">
      <text>
        <r>
          <rPr>
            <b/>
            <sz val="9"/>
            <color indexed="81"/>
            <rFont val="Tahoma"/>
            <family val="2"/>
            <charset val="204"/>
          </rPr>
          <t>В условии затраты на капремонт в ценах на дату оценки</t>
        </r>
        <r>
          <rPr>
            <sz val="9"/>
            <color indexed="81"/>
            <rFont val="Tahoma"/>
            <family val="2"/>
            <charset val="204"/>
          </rPr>
          <t xml:space="preserve">
</t>
        </r>
      </text>
    </comment>
    <comment ref="B708" authorId="0" shapeId="0" xr:uid="{121A602A-3666-4490-8A1F-8EF58B87E70C}">
      <text>
        <r>
          <rPr>
            <b/>
            <sz val="9"/>
            <color indexed="81"/>
            <rFont val="Tahoma"/>
            <family val="2"/>
            <charset val="204"/>
          </rPr>
          <t>Индексы изменения цен на продукцию на начало года по отношению к началу предыдущего года</t>
        </r>
        <r>
          <rPr>
            <sz val="9"/>
            <color indexed="81"/>
            <rFont val="Tahoma"/>
            <family val="2"/>
            <charset val="204"/>
          </rPr>
          <t xml:space="preserve">
</t>
        </r>
      </text>
    </comment>
    <comment ref="B709" authorId="0" shapeId="0" xr:uid="{96B0E58A-E1C6-4AF1-B1EF-9DA2BB841912}">
      <text>
        <r>
          <rPr>
            <b/>
            <sz val="9"/>
            <color indexed="81"/>
            <rFont val="Tahoma"/>
            <family val="2"/>
            <charset val="204"/>
          </rPr>
          <t>Индексы изменения затрат по выпуску единицы продукции на начало года по отношению к началу предыдущего года</t>
        </r>
        <r>
          <rPr>
            <sz val="9"/>
            <color indexed="81"/>
            <rFont val="Tahoma"/>
            <family val="2"/>
            <charset val="204"/>
          </rPr>
          <t xml:space="preserve">
</t>
        </r>
      </text>
    </comment>
    <comment ref="B710" authorId="0" shapeId="0" xr:uid="{EFD5BE3B-743C-4B4C-B780-10B33CA98056}">
      <text>
        <r>
          <rPr>
            <b/>
            <sz val="9"/>
            <color indexed="81"/>
            <rFont val="Tahoma"/>
            <family val="2"/>
            <charset val="204"/>
          </rPr>
          <t>Индексы изменения затрат на капитальный ремонт на начало года по отношению к началу предыдущего года</t>
        </r>
        <r>
          <rPr>
            <sz val="9"/>
            <color indexed="81"/>
            <rFont val="Tahoma"/>
            <family val="2"/>
            <charset val="204"/>
          </rPr>
          <t xml:space="preserve">
</t>
        </r>
      </text>
    </comment>
    <comment ref="C713" authorId="0" shapeId="0" xr:uid="{50FBE67D-6E71-42A8-9BFF-49AAB4734596}">
      <text>
        <r>
          <rPr>
            <b/>
            <sz val="9"/>
            <color indexed="81"/>
            <rFont val="Tahoma"/>
            <family val="2"/>
            <charset val="204"/>
          </rPr>
          <t>Один месяц регламентного обслуживания</t>
        </r>
        <r>
          <rPr>
            <sz val="9"/>
            <color indexed="81"/>
            <rFont val="Tahoma"/>
            <family val="2"/>
            <charset val="204"/>
          </rPr>
          <t xml:space="preserve">
</t>
        </r>
      </text>
    </comment>
    <comment ref="D713" authorId="0" shapeId="0" xr:uid="{F0BF712A-8A38-4528-80F2-7E37C7BC9337}">
      <text>
        <r>
          <rPr>
            <b/>
            <sz val="9"/>
            <color indexed="81"/>
            <rFont val="Tahoma"/>
            <family val="2"/>
            <charset val="204"/>
          </rPr>
          <t>Один месяц регламентного обслуживания</t>
        </r>
        <r>
          <rPr>
            <sz val="9"/>
            <color indexed="81"/>
            <rFont val="Tahoma"/>
            <family val="2"/>
            <charset val="204"/>
          </rPr>
          <t xml:space="preserve">
</t>
        </r>
      </text>
    </comment>
    <comment ref="E713" authorId="0" shapeId="0" xr:uid="{C4A5F1BD-AEF3-4B7C-BB6D-D09F908BD53D}">
      <text>
        <r>
          <rPr>
            <b/>
            <sz val="9"/>
            <color indexed="81"/>
            <rFont val="Tahoma"/>
            <family val="2"/>
            <charset val="204"/>
          </rPr>
          <t>Один месяц регламентного обслуживания</t>
        </r>
        <r>
          <rPr>
            <sz val="9"/>
            <color indexed="81"/>
            <rFont val="Tahoma"/>
            <family val="2"/>
            <charset val="204"/>
          </rPr>
          <t xml:space="preserve">
</t>
        </r>
      </text>
    </comment>
    <comment ref="F713" authorId="0" shapeId="0" xr:uid="{8A580CF6-699B-4AA9-9989-F792E624C18C}">
      <text>
        <r>
          <rPr>
            <b/>
            <sz val="9"/>
            <color indexed="81"/>
            <rFont val="Tahoma"/>
            <family val="2"/>
            <charset val="204"/>
          </rPr>
          <t>Капремонт 4 месяца. Регламентного обслуживания нет.</t>
        </r>
      </text>
    </comment>
    <comment ref="G713" authorId="0" shapeId="0" xr:uid="{BBCE5B54-ED99-4879-90F6-901D60BF08C3}">
      <text>
        <r>
          <rPr>
            <b/>
            <sz val="9"/>
            <color indexed="81"/>
            <rFont val="Tahoma"/>
            <family val="2"/>
            <charset val="204"/>
          </rPr>
          <t>Три месяца регламентного обслуживания</t>
        </r>
        <r>
          <rPr>
            <sz val="9"/>
            <color indexed="81"/>
            <rFont val="Tahoma"/>
            <family val="2"/>
            <charset val="204"/>
          </rPr>
          <t xml:space="preserve">
</t>
        </r>
      </text>
    </comment>
    <comment ref="H713" authorId="0" shapeId="0" xr:uid="{AC995265-9208-49F2-A238-20956E3B5FAE}">
      <text>
        <r>
          <rPr>
            <b/>
            <sz val="9"/>
            <color indexed="81"/>
            <rFont val="Tahoma"/>
            <family val="2"/>
            <charset val="204"/>
          </rPr>
          <t>Три месяца регламентного обслуживания</t>
        </r>
        <r>
          <rPr>
            <sz val="9"/>
            <color indexed="81"/>
            <rFont val="Tahoma"/>
            <family val="2"/>
            <charset val="204"/>
          </rPr>
          <t xml:space="preserve">
</t>
        </r>
      </text>
    </comment>
    <comment ref="C717" authorId="0" shapeId="0" xr:uid="{A331B2D4-EC55-4F65-85D6-7F8AE65BD700}">
      <text>
        <r>
          <rPr>
            <b/>
            <sz val="9"/>
            <color indexed="81"/>
            <rFont val="Tahoma"/>
            <family val="2"/>
            <charset val="204"/>
          </rPr>
          <t>Не учитываем для первого года! Читаем условие: стоимость единицы по состоянию на 01.01.17</t>
        </r>
        <r>
          <rPr>
            <sz val="9"/>
            <color indexed="81"/>
            <rFont val="Tahoma"/>
            <family val="2"/>
            <charset val="204"/>
          </rPr>
          <t xml:space="preserve">
</t>
        </r>
      </text>
    </comment>
    <comment ref="C720" authorId="0" shapeId="0" xr:uid="{ED9E280B-C782-49FE-8737-C137EE1E585D}">
      <text>
        <r>
          <rPr>
            <b/>
            <sz val="9"/>
            <color indexed="81"/>
            <rFont val="Tahoma"/>
            <family val="2"/>
            <charset val="204"/>
          </rPr>
          <t>Первый год не индексируем, поскольку указано, что "в 2017 году составляют"</t>
        </r>
        <r>
          <rPr>
            <sz val="9"/>
            <color indexed="81"/>
            <rFont val="Tahoma"/>
            <family val="2"/>
            <charset val="204"/>
          </rPr>
          <t xml:space="preserve">
</t>
        </r>
      </text>
    </comment>
    <comment ref="F724" authorId="0" shapeId="0" xr:uid="{2E499514-D15B-41D7-AF0C-CD104987804B}">
      <text>
        <r>
          <rPr>
            <b/>
            <sz val="9"/>
            <color indexed="81"/>
            <rFont val="Tahoma"/>
            <family val="2"/>
            <charset val="204"/>
          </rPr>
          <t>В условии затраты на капремонт в ценах на дату капремонта</t>
        </r>
        <r>
          <rPr>
            <sz val="9"/>
            <color indexed="81"/>
            <rFont val="Tahoma"/>
            <family val="2"/>
            <charset val="204"/>
          </rPr>
          <t xml:space="preserve">
</t>
        </r>
      </text>
    </comment>
  </commentList>
</comments>
</file>

<file path=xl/sharedStrings.xml><?xml version="1.0" encoding="utf-8"?>
<sst xmlns="http://schemas.openxmlformats.org/spreadsheetml/2006/main" count="4342" uniqueCount="1646">
  <si>
    <t>Доходный подход</t>
  </si>
  <si>
    <t>Затратный подход</t>
  </si>
  <si>
    <t>Сравнительный подход</t>
  </si>
  <si>
    <t>Пробег</t>
  </si>
  <si>
    <t>ОО</t>
  </si>
  <si>
    <t>ОА</t>
  </si>
  <si>
    <t>Срок службы, лет</t>
  </si>
  <si>
    <t>Решение:</t>
  </si>
  <si>
    <r>
      <t xml:space="preserve">Определяем </t>
    </r>
    <r>
      <rPr>
        <sz val="14"/>
        <color theme="1"/>
        <rFont val="Symbol"/>
        <family val="1"/>
        <charset val="2"/>
      </rPr>
      <t>w</t>
    </r>
  </si>
  <si>
    <t>Определяем износ</t>
  </si>
  <si>
    <t>Стоимость нового</t>
  </si>
  <si>
    <t>Накопленный износ</t>
  </si>
  <si>
    <t>Корректировка</t>
  </si>
  <si>
    <t>РС</t>
  </si>
  <si>
    <t>Затраты на воспроизводство</t>
  </si>
  <si>
    <t>Физический износ</t>
  </si>
  <si>
    <t>Функциональное устаревание</t>
  </si>
  <si>
    <t>Экономическое устаревание</t>
  </si>
  <si>
    <t>Накопленный износ в рублях</t>
  </si>
  <si>
    <t>5.2.1.3. Затраты на воспроизводство – 400 000 рублей. Эффективный возраст – 7 лет, Остаточный срок службы-5 лет. Функциональное устаревание- 30%. Определить рыночную стоимость.</t>
  </si>
  <si>
    <t>Эффективный возраст, лет</t>
  </si>
  <si>
    <t>Остаточный срок службы, лет</t>
  </si>
  <si>
    <t>Полный срок службы</t>
  </si>
  <si>
    <t>Рыночная стоимость</t>
  </si>
  <si>
    <t>Стоимость ремонта двигателя</t>
  </si>
  <si>
    <t>Наработка двигателей</t>
  </si>
  <si>
    <t>Межремонтный налет</t>
  </si>
  <si>
    <t>Накопленный износ двигателей</t>
  </si>
  <si>
    <t>Количество двигателей</t>
  </si>
  <si>
    <t>Корректировка на двигатели</t>
  </si>
  <si>
    <t>Стоимость аналога (самолёта)</t>
  </si>
  <si>
    <t>Скидка на торг</t>
  </si>
  <si>
    <t>5.2.1.5. Определить физический износ, если известны следующие данные. Возраст 12 лет. Нормативный срок службы 15 лет. 3 года назад износ определили в 30%. Износ начисляется линейно.</t>
  </si>
  <si>
    <t>Возраст, лет</t>
  </si>
  <si>
    <t>Нормативный срок службы, лет</t>
  </si>
  <si>
    <t>Износ 3 года назад</t>
  </si>
  <si>
    <t>Нормативный износ, в год</t>
  </si>
  <si>
    <t>Накопленный износ за три года</t>
  </si>
  <si>
    <t>Хронологический возраст, лет</t>
  </si>
  <si>
    <t>Стоимость новой аналогичной линии</t>
  </si>
  <si>
    <t>Новая линия производительней на</t>
  </si>
  <si>
    <t>Операционные активы предприятия</t>
  </si>
  <si>
    <t>Специализированные операц. активы</t>
  </si>
  <si>
    <t>Неспециализированные опер. активы</t>
  </si>
  <si>
    <t>Неоперационные активы</t>
  </si>
  <si>
    <t>Эффективный возраст / Нормативный срок службы</t>
  </si>
  <si>
    <t>Специализир. активы по доходному</t>
  </si>
  <si>
    <t>Внешний износ</t>
  </si>
  <si>
    <t>Функциональный износ</t>
  </si>
  <si>
    <t>Рыночная</t>
  </si>
  <si>
    <t>Показатель степени равен единице</t>
  </si>
  <si>
    <t>5.2.1.7. Определить оставшийся срок службы горнопроходческой линии. Начало эксплуатации - апрель 2012, дата определения оставшегося срока службы – январь 2015. Годовая норма выработки 1 045 000 тн. Оставшийся объем запасов 3,4 млн.тн. Линия смонтирована под данную выработку, по истечении добычи ее демонтируют.</t>
  </si>
  <si>
    <t>Оставшийся объем запасов, тонн</t>
  </si>
  <si>
    <t>Годовая норма выработки, тонн</t>
  </si>
  <si>
    <t>Оставшийся срок службы, лет</t>
  </si>
  <si>
    <t>Оставшийся срок службы, мес.</t>
  </si>
  <si>
    <t>5.2.1.8. Определить рыночную стоимость станка в г. Самаре с учетом НДС (НДС 18%). Станок был приобретен в Германии за 350 000 евро. Индекс цен на аналогичное оборудование в еврозоне за период с 01.01.1999 по 10.02.2004 составил 1,54, а в период с 10.01.1999 по 15.10.2016 – 2,12. Поставка произведена на условиях DDP (включает таможенное оформление, доставку и монтаж). Дата поставки – 10.02.2004. Дата оценки – 15.10.2016. Таможенная пошлина составляет 10%. Затраты на доставку и монтаж составляют 20%. Курс евро на 10.02.2004 составлял 35,10 руб./евро, а на 15.10.2016 – 70,18 руб./евро.</t>
  </si>
  <si>
    <t>Цена в Германии в 2004 году, евро</t>
  </si>
  <si>
    <t>Индекс 1999-2004</t>
  </si>
  <si>
    <t>Индекс 1999-2016</t>
  </si>
  <si>
    <t>Курс евро на 2016</t>
  </si>
  <si>
    <t>Индекс удорожания 2004-2016</t>
  </si>
  <si>
    <t>Стоимость станка в Самаре</t>
  </si>
  <si>
    <t>Стоимость оборудования в США</t>
  </si>
  <si>
    <t>Вывозная пошлина</t>
  </si>
  <si>
    <t>Ввозная пошлина</t>
  </si>
  <si>
    <t>Стоимость в условиях России</t>
  </si>
  <si>
    <t>Столько стоило оборудование до вывоза в США</t>
  </si>
  <si>
    <t>5.2.1.10. Оборудование куплено в 2012 г. за 25000$ со склада. Договор поставки включает в себя расходы на пошлину и ускоренную доставку 10 и 5 % соответственно. Курс на дату приобретения 40 руб./$. Коэффициент роста цен в долларах 1.03. Курс на дату оценки 60 руб./$. Покупатель параллельно заключал договор поставки аналогичного оборудования за 200 000 руб. Цена этого договора на дату оценки не изменилась. Определить рыночную стоимость.</t>
  </si>
  <si>
    <t>Цена оборудования в 2012 году, долл.</t>
  </si>
  <si>
    <t>Расходы на пошлину</t>
  </si>
  <si>
    <t>Расходы на ускоренную доставку</t>
  </si>
  <si>
    <t>Ускоренная доставка - не рыночные условия</t>
  </si>
  <si>
    <t>Курс на дату приобретения</t>
  </si>
  <si>
    <t>Курс на дату оценки</t>
  </si>
  <si>
    <t>Коэффициент роста цен в долларах</t>
  </si>
  <si>
    <t>Лишние данные</t>
  </si>
  <si>
    <t>Договор поставки аналогичного оборуд.</t>
  </si>
  <si>
    <t>5.2.1.11. Определить физический износ фанерного завода по состоянию на 2016 год. Срок службы – 25 лет. 
Оборудование вводилось: в 2000 году – 2000 т. р.; В 2005 году – 3000 т. р.; в 2010 году – 4000 т. р.</t>
  </si>
  <si>
    <t>Год</t>
  </si>
  <si>
    <t>Цена</t>
  </si>
  <si>
    <t>Вес в стоимости</t>
  </si>
  <si>
    <t>Износ</t>
  </si>
  <si>
    <t>Дата оценки</t>
  </si>
  <si>
    <t>(Дата оценки - Год ввода) / Срок службы</t>
  </si>
  <si>
    <t>5.2.1.12. Рассчитать функциональный износ, если расходы на электроэнергию нашего оборудования 100 000 руб., а объекта-аналога – 60 000 руб. Оборудование будет существовать три года. Ставка дисконтирования 20%. Дисконтирование проводится на середину периода.</t>
  </si>
  <si>
    <t>Период</t>
  </si>
  <si>
    <t>Денежный поток (перерасход)</t>
  </si>
  <si>
    <t>Ставка дисконтирования</t>
  </si>
  <si>
    <t>Стоимость нового котла</t>
  </si>
  <si>
    <t>Мощность от проектной</t>
  </si>
  <si>
    <t>Стоимость модернизации</t>
  </si>
  <si>
    <t>Это не влияет на работу предприятия. НЭИ соответствует текущему использованию. Износ устранять не надо.</t>
  </si>
  <si>
    <t>5.2.1.14. Определить затраты на воспроизводство станка «JWC 2378-С» (без учета износа и устаревания, без учета НДС) на основании данных контракта на его точную копию. Оценка производится по состоянию на 2016 год. Все данные приведены без учета НДС и других косвенных налогов. Курс никарагуанской кордобы по состоянию на дату оценки: 1 NIO = 2 RU. Данные из контракта:</t>
  </si>
  <si>
    <t>Вес</t>
  </si>
  <si>
    <t>Модель</t>
  </si>
  <si>
    <t>Страна-производитель</t>
  </si>
  <si>
    <t>Год производства</t>
  </si>
  <si>
    <t>Затраты на монтаж</t>
  </si>
  <si>
    <t>JWC 2378-С</t>
  </si>
  <si>
    <t>27 тонн</t>
  </si>
  <si>
    <t>Никарагуа</t>
  </si>
  <si>
    <t>Цена оборудования, NIO</t>
  </si>
  <si>
    <t>Затраты на монтаж, р.</t>
  </si>
  <si>
    <t>Затраты на пуско-наладочные работы, р.</t>
  </si>
  <si>
    <t>Увеличение срока действия гарантии, р.</t>
  </si>
  <si>
    <t>Величина таможенной пошлины, р.</t>
  </si>
  <si>
    <t>Стоимость доставки, р.</t>
  </si>
  <si>
    <t>Надбавка за ускоренную доставку, р.</t>
  </si>
  <si>
    <t>Цена оборудования в рублях</t>
  </si>
  <si>
    <t>Не рыночные условия (дополнительная опция)</t>
  </si>
  <si>
    <t>Не рыночные условия</t>
  </si>
  <si>
    <t>5.2.1.15. Компания приобрела станок производительностью 100 деталей в час в январе 2007 года за 250 000 рублей. Нормативный срок полезного использования подобных станков 25 лет. Вследствие неправильной эксплуатации станок получил неустранимый ущерб, что повлияло на его производительность, которая составила 80 деталей в час. Определить затраты на воспроизводство с учетом всех видов износа и устареваний по состоянию на январь 2017 года, если известно, что цены на подобные станки с даты приобретения выросли на 60%, а коэффициент торможения по производительности составляет 0,7064.</t>
  </si>
  <si>
    <t>Год приобретения</t>
  </si>
  <si>
    <t>Затраты на приобретение в 2007 году</t>
  </si>
  <si>
    <t>Срок полезного использования, лет</t>
  </si>
  <si>
    <t>Производительность нормативная</t>
  </si>
  <si>
    <t>Производительность фактическая</t>
  </si>
  <si>
    <t>Коэффициент торможения</t>
  </si>
  <si>
    <t>Процент удорожания 2007-2017</t>
  </si>
  <si>
    <t>Дан не индекс, а процент удорожания</t>
  </si>
  <si>
    <t>(Дата оценки - Дата покупки) / Срок полезного использования</t>
  </si>
  <si>
    <t>1-(ОО/ОА)^b</t>
  </si>
  <si>
    <t>ОО - производительность нашего ущербного станка, ОА - неповрежденного станка</t>
  </si>
  <si>
    <t>5.2.1.16. Определить рыночную стоимость оборудования. Полная стоимость замещения 10 000 000 руб.. Физический износ 90% и внешний износ 95%. Известно, что масса оборудования 20 т, стоимость металлолома на условиях самовывоза — 9 000 руб./т.</t>
  </si>
  <si>
    <t>Затраты на замещение</t>
  </si>
  <si>
    <t>Внешнее устаревание</t>
  </si>
  <si>
    <t>Масса оборудования, тонн</t>
  </si>
  <si>
    <t>Стоимость металлолома, руб./т.</t>
  </si>
  <si>
    <t>Стоимость оборудования</t>
  </si>
  <si>
    <t>Стоимость как металлолома</t>
  </si>
  <si>
    <t>Стоимость металлолома выше, она и является рыночной</t>
  </si>
  <si>
    <t>Зарплата одного специалиста</t>
  </si>
  <si>
    <t>Оставшийся срок жизни, лет</t>
  </si>
  <si>
    <t>Текущая стоимость</t>
  </si>
  <si>
    <r>
      <t>Избыточная зарплата (</t>
    </r>
    <r>
      <rPr>
        <sz val="14"/>
        <color rgb="FFFF0000"/>
        <rFont val="Calibri"/>
        <family val="2"/>
        <charset val="204"/>
        <scheme val="minor"/>
      </rPr>
      <t>в год</t>
    </r>
    <r>
      <rPr>
        <sz val="14"/>
        <color theme="1"/>
        <rFont val="Calibri"/>
        <family val="2"/>
        <charset val="204"/>
        <scheme val="minor"/>
      </rPr>
      <t>)</t>
    </r>
  </si>
  <si>
    <t>5.2.1.18. Из-за неисправности горелки производительность оборудования снизилась до 55% от паспортной производительности. Стоимость нового оборудования 1 млн. руб. Ремонт горелки обойдется в 300 тыс. руб. Каков вид износа и его величина?</t>
  </si>
  <si>
    <t>Техническая (физическая) неисправность горелки - физический износ.</t>
  </si>
  <si>
    <t>Горелка ремонтопригодна. Износ устранимый. Затраты на ремонт - 300т.р.</t>
  </si>
  <si>
    <t>Ответ: устранимый физический износ, 300т.р.</t>
  </si>
  <si>
    <t>5.2.1.19. Стоимость нового оборудования (Цон) составляет 100 ден. ед. У объекта оценки оставшийся срок жизни 10 лет. Нормативный срок жизни 15 лет. Стоимость оборудования в зависимости от износа описывается формулой Цоо = Цон* (1-exp(-0,4*ХВ)), где ХВ - хронологический возраст. Определить рыночную стоимость объекта оценки (Цоо).</t>
  </si>
  <si>
    <t>Цена нового оборудования</t>
  </si>
  <si>
    <t>Нормативный срок жизни, лет</t>
  </si>
  <si>
    <t>Хронологический возраст</t>
  </si>
  <si>
    <t>Стоимость оборудования в 2012, долл.</t>
  </si>
  <si>
    <t>Таможенная пошлина</t>
  </si>
  <si>
    <t>Ускоренное оформление</t>
  </si>
  <si>
    <t>Курс на 2012</t>
  </si>
  <si>
    <t>5.2.1.21. (4 балла). Полная восстановительная стоимость турбины на 2017г. 900 млн.руб. Турбина введена в эксплуатацию в 1985 году. Срок службы 40 лет. В 2008 году колесо генератора (основной элемент турбины) было заменено на новое стоимостью 550 млн.руб. с учетом демонтажа в размере 50 млн.руб. (в уровне цен 2008 года). К 2017 стоимость колеса выросла на 50%. Определить рыночную стоимость турбины по состоянию на 2017 год.</t>
  </si>
  <si>
    <t>Затраты на воспроизводство на 2017</t>
  </si>
  <si>
    <t>Дата ввода в эксплуатацию</t>
  </si>
  <si>
    <t>Дата замены колеса генератора</t>
  </si>
  <si>
    <t>Затраты на демонтаж</t>
  </si>
  <si>
    <t>Удорожание колеса 2008-2017</t>
  </si>
  <si>
    <t>Стоимость колеса с демонтажом</t>
  </si>
  <si>
    <t>Стоимость колеса в 2008 (без монтажа)</t>
  </si>
  <si>
    <t>Стоимость колеса в 2017</t>
  </si>
  <si>
    <t>Стоимость остальных частей в 2017</t>
  </si>
  <si>
    <t>Износ колеса</t>
  </si>
  <si>
    <t>(Дата оценки - Дата замены колеса) / Срок службы</t>
  </si>
  <si>
    <t>Износ остальных частей</t>
  </si>
  <si>
    <t>Доля долгоживущих элементов</t>
  </si>
  <si>
    <t>Срок жизни долгоживущих, лет</t>
  </si>
  <si>
    <t>Срок жизни короткоживущих, лет</t>
  </si>
  <si>
    <t>Количество лет до капремонта</t>
  </si>
  <si>
    <t>Снижение износа долгоживущих</t>
  </si>
  <si>
    <t>Снижение износа короткоживущих</t>
  </si>
  <si>
    <t>Износ долгоживущих до ремонта</t>
  </si>
  <si>
    <t>Износ короткоживущих до ремонт</t>
  </si>
  <si>
    <t>Износ долгоживущих после ремонта</t>
  </si>
  <si>
    <t>Износ короткоживущих после ремонта</t>
  </si>
  <si>
    <t>Суммарный износ</t>
  </si>
  <si>
    <t>Износ долгоживущих * Доля долгоживущих + Износ короткоживущих * (1 - Доля долгоживущих)</t>
  </si>
  <si>
    <r>
      <t xml:space="preserve">5.2.1.22. Стоимость оборудования 10 000 долларов. Доля долгоживущих элементов составляет 80%. Нормативный срок жизни долгоживущих элементов 20 лет, короткоживущих элементов 5 лет. Через 4 года произведен капитальный ремонт оборудования, в результате чего физический износ долгоживущих элементов уменьшился 20 </t>
    </r>
    <r>
      <rPr>
        <b/>
        <sz val="14"/>
        <color rgb="FFFF0000"/>
        <rFont val="Calibri"/>
        <family val="2"/>
        <charset val="204"/>
        <scheme val="minor"/>
      </rPr>
      <t>пунктов</t>
    </r>
    <r>
      <rPr>
        <b/>
        <sz val="14"/>
        <color theme="1"/>
        <rFont val="Calibri"/>
        <family val="2"/>
        <charset val="204"/>
        <scheme val="minor"/>
      </rPr>
      <t xml:space="preserve">, короткоживущих - на 10 </t>
    </r>
    <r>
      <rPr>
        <b/>
        <sz val="14"/>
        <color rgb="FFFF0000"/>
        <rFont val="Calibri"/>
        <family val="2"/>
        <charset val="204"/>
        <scheme val="minor"/>
      </rPr>
      <t>пунктов</t>
    </r>
    <r>
      <rPr>
        <b/>
        <sz val="14"/>
        <color theme="1"/>
        <rFont val="Calibri"/>
        <family val="2"/>
        <charset val="204"/>
        <scheme val="minor"/>
      </rPr>
      <t>. Определите рыночную стоимость оборудования после капитального ремонта.</t>
    </r>
  </si>
  <si>
    <t>Первоначальная балансовая, руб.</t>
  </si>
  <si>
    <t>Затраты на монтаж от оборудования</t>
  </si>
  <si>
    <t>Рост СМР</t>
  </si>
  <si>
    <t>Дата покупки</t>
  </si>
  <si>
    <t>Курс Евро на 2007</t>
  </si>
  <si>
    <t xml:space="preserve">Курс Евро на 2010 </t>
  </si>
  <si>
    <t>Удорожание 2007-2010 в Еврозоне</t>
  </si>
  <si>
    <t>Стоимость оборудования на 2007</t>
  </si>
  <si>
    <t>Затраты на монтаж в 2007, руб.</t>
  </si>
  <si>
    <t>Стоимость оборудования на 2007 в Евро</t>
  </si>
  <si>
    <t>Стоимость оборудования на 2010 в Евро</t>
  </si>
  <si>
    <t>Стоимость оборудования на 2010 в руб</t>
  </si>
  <si>
    <t>Затраты на монтаж в 2010</t>
  </si>
  <si>
    <t>Затраты на воспроизводство в 2010</t>
  </si>
  <si>
    <t>Выделили из первоначальной балансовой затраты на монтаж</t>
  </si>
  <si>
    <t>Перевели стоимость оборудования в Евро, чтобы учесть удорожание в Еврозоне</t>
  </si>
  <si>
    <t>Вернули стоимость в рубли</t>
  </si>
  <si>
    <t>Учли удорожание СМР</t>
  </si>
  <si>
    <t>Первоначальная балансовая</t>
  </si>
  <si>
    <t>Пуско-наладка, монтаж и доставка</t>
  </si>
  <si>
    <t>Рост цен на оборудование</t>
  </si>
  <si>
    <t>Стоимость СМР</t>
  </si>
  <si>
    <t>Удорожание оборудования</t>
  </si>
  <si>
    <t>Удорожание СМР</t>
  </si>
  <si>
    <t>А1</t>
  </si>
  <si>
    <t>А2</t>
  </si>
  <si>
    <t>Параметр</t>
  </si>
  <si>
    <t>Коэффициент торможения цены</t>
  </si>
  <si>
    <t>Цена нового ОО без монтажа</t>
  </si>
  <si>
    <t>Срок жизни, лет</t>
  </si>
  <si>
    <t>Остаточный срок жизни</t>
  </si>
  <si>
    <t>Эффективный возраст</t>
  </si>
  <si>
    <t>5.2.1.26. Объект оценки – самолет. Капитальный ремонт проводится при налете 20.000 часов или после 5 лет эксплуатации. Сколько надо налетать ежемесячно, чтобы два события совпали?</t>
  </si>
  <si>
    <t>Налёт до капремонта, часов</t>
  </si>
  <si>
    <t>Налёт до капремонта, лет</t>
  </si>
  <si>
    <t>Ежемесячный налёт, часов</t>
  </si>
  <si>
    <t>Пробег, тыс.км.</t>
  </si>
  <si>
    <r>
      <t xml:space="preserve">5.2.1.27. Объект оценки – грузовой автомобиль с пробегом 600 </t>
    </r>
    <r>
      <rPr>
        <b/>
        <sz val="14"/>
        <color rgb="FFFF0000"/>
        <rFont val="Calibri"/>
        <family val="2"/>
        <charset val="204"/>
        <scheme val="minor"/>
      </rPr>
      <t>тыс</t>
    </r>
    <r>
      <rPr>
        <b/>
        <sz val="14"/>
        <color theme="1"/>
        <rFont val="Calibri"/>
        <family val="2"/>
        <charset val="204"/>
        <scheme val="minor"/>
      </rPr>
      <t>. км и возрастом 8 лет. Стоимость нового аналога 1200 тыс. руб. Утилизационная стоимость объекта оценки 400 тыс. руб. Физический износ рассчитывается по формуле Иф = 1 - exp(-ɷ). Зависимость ɷ для расчета износа для данного автомобиля производится по ф-ле: ɷ = 0,1*В + 0,003*П, где П - пробег, в тыс. км, а В - возраст транспортного средства в годах. Определить рыночную стоимость объекта оценки.</t>
    </r>
  </si>
  <si>
    <t>ɷ</t>
  </si>
  <si>
    <t>Утилизационная стоимость</t>
  </si>
  <si>
    <t>5.2.1.28. Нормативный налет самолета – 30 000 часов. Налет объекта оценки 12 500 часов. Каждые 2 000 часов налета требуется проведение капремонта двигателя. Стоимость капремонта составляет 25% от стоимости нового самолета. Определите износ объекта</t>
  </si>
  <si>
    <t>Нормативный налёт самолёта, ч.</t>
  </si>
  <si>
    <t>Налёт объекта оценки</t>
  </si>
  <si>
    <t>Межремонтный налёт</t>
  </si>
  <si>
    <t>Стоимость капремонта двигателя</t>
  </si>
  <si>
    <t>Износ долгоживущих элементов</t>
  </si>
  <si>
    <t>(Налёт объекта / Нормативный налёт самолёта) * Доля долгоживущих</t>
  </si>
  <si>
    <t>Налёт двигателей после капремонта</t>
  </si>
  <si>
    <t>Из налёта объекта оценки вычитаем по 2000 столько раз, чтобы осталось число, меньшее 2000</t>
  </si>
  <si>
    <t>Износ короткоживущих элементов</t>
  </si>
  <si>
    <t>Суммарный износ объекта</t>
  </si>
  <si>
    <r>
      <t xml:space="preserve">5.2.1.29. Определить рыночную стоимость дробилки по состоянию на 30.05.2017 г. Страна производитель – Германия. Индекс евростата с 2000 по 2010 год - 1,84, индекс с 2000 по 2017 г. - 2.27. Курс на 30.05.2010 – 32 рубля/евро, на 30.05.2017 – 58 руб./евро. Дробилка приобретена 30.05.2010 г. за 450 000 евро. На условиях FCA (перевозка оплачена до терминала таможни в Германии и включает </t>
    </r>
    <r>
      <rPr>
        <b/>
        <sz val="14"/>
        <color rgb="FFFF0000"/>
        <rFont val="Calibri"/>
        <family val="2"/>
        <charset val="204"/>
        <scheme val="minor"/>
      </rPr>
      <t>экспортные</t>
    </r>
    <r>
      <rPr>
        <b/>
        <sz val="14"/>
        <color theme="1"/>
        <rFont val="Calibri"/>
        <family val="2"/>
        <charset val="204"/>
        <scheme val="minor"/>
      </rPr>
      <t xml:space="preserve"> таможенные пошлины). Затраты на доставку и ввод в эксплуатацию составляют 30% от цены оборудования. </t>
    </r>
    <r>
      <rPr>
        <b/>
        <sz val="14"/>
        <color rgb="FFFF0000"/>
        <rFont val="Calibri"/>
        <family val="2"/>
        <charset val="204"/>
        <scheme val="minor"/>
      </rPr>
      <t>Импортная</t>
    </r>
    <r>
      <rPr>
        <b/>
        <sz val="14"/>
        <color theme="1"/>
        <rFont val="Calibri"/>
        <family val="2"/>
        <charset val="204"/>
        <scheme val="minor"/>
      </rPr>
      <t xml:space="preserve"> пошлина 8%.</t>
    </r>
  </si>
  <si>
    <t>Стоимость дробилки, Евро</t>
  </si>
  <si>
    <t>Дата приобретения</t>
  </si>
  <si>
    <t>Индекс 2000-2010</t>
  </si>
  <si>
    <t>Индекс 2000-2017</t>
  </si>
  <si>
    <t>Курс Евро на 2010</t>
  </si>
  <si>
    <t>Курс Евро на 2017</t>
  </si>
  <si>
    <t>Импортная пошлина</t>
  </si>
  <si>
    <t>Доставка</t>
  </si>
  <si>
    <t>FCA включает экспортные пошлины, но не импортные.</t>
  </si>
  <si>
    <t>Индекс удорожания 2010-2017</t>
  </si>
  <si>
    <t>Стоимость дробилки в 2017, руб.</t>
  </si>
  <si>
    <t>Затраты на доставку и монтаж</t>
  </si>
  <si>
    <t>Мультипликативная модель:</t>
  </si>
  <si>
    <t>Аддитивная модель:</t>
  </si>
  <si>
    <t>5.2.1.30. Определить рыночную стоимость самосвала «КАМАЗ». Цены предложения первого аналога – 1,3 млн руб., второго аналога – 1,42 млн руб. Корректировка на торг 7%. Имущественный комплекс предприятия-балансодержателя объекта оценки имеет экономическое устаревание 20%.</t>
  </si>
  <si>
    <t>ОА1</t>
  </si>
  <si>
    <t>ОА2</t>
  </si>
  <si>
    <t>Цена предложения</t>
  </si>
  <si>
    <t>Цена сделки</t>
  </si>
  <si>
    <t>5.2.1.31. Объект построен и введен в эксплуатацию в 2010 году. Срок службы объекта - 25 лет. Оценка проводится по состоянию на 2018 год. В ходе проведения работ по оценке было выявлено, что эффективный возраст оцениваемого объекта составляет 12 лет. Определить оставшийся срок службы объекта на момент оценки.</t>
  </si>
  <si>
    <t>Дата ввода</t>
  </si>
  <si>
    <t>Оставшийся срок службы</t>
  </si>
  <si>
    <t>Цена покупки</t>
  </si>
  <si>
    <t>Цена продажи</t>
  </si>
  <si>
    <t>В зависимости от вариантов ответа выбрать необходимый</t>
  </si>
  <si>
    <t>5.2.1.33. Предприятие в 2006 году приобрело станок с производительностью 100 деталей/час за 200 000 руб. Затем в связи с неправильной эксплуатацией производительность снизилась до 80 деталей в час. Нормативный срок эксплуатации 25 лет. Определить затраты на воспроизводство с учетом всех видов износа и устареваний по состоянию на 2017 год. Необходимо применить коэффициент торможения на «производительность». В 2017 году предлагался аналог за 250 000 рублей с производительностью 60 деталей в час. В 2006 году предлагались два аналога 170 000 и 250 040 рублей производительностью 70 и 120 деталей в час соответственно. Округлить до сотен.</t>
  </si>
  <si>
    <t>Стоимость в 2017 году</t>
  </si>
  <si>
    <t>Производительность в 2017 году</t>
  </si>
  <si>
    <t>Затраты на замещение в 2017</t>
  </si>
  <si>
    <t>Затраты = Цена аналога в 2017 * (Параметр ОО / Параметр аналога 2017) ^ b</t>
  </si>
  <si>
    <r>
      <t xml:space="preserve">5.2.1.34. В 2012 году предприятием была приобретена новая гидротурбина за 2 000 000 </t>
    </r>
    <r>
      <rPr>
        <b/>
        <sz val="14"/>
        <color rgb="FFFF0000"/>
        <rFont val="Calibri"/>
        <family val="2"/>
        <charset val="204"/>
        <scheme val="minor"/>
      </rPr>
      <t>долларов</t>
    </r>
    <r>
      <rPr>
        <b/>
        <sz val="14"/>
        <color theme="1"/>
        <rFont val="Calibri"/>
        <family val="2"/>
        <charset val="204"/>
        <scheme val="minor"/>
      </rPr>
      <t xml:space="preserve"> США. Курс доллара к рублю по состоянию на дату приобретения был равен 32. Определите затраты на воспроизводство данной гидротурбины в рублях, по состоянию на дату оценки, при условии, что курс доллара к рублю на дату оценки был равен 61, а индекс роста цен в США на подобные активы с 2012 по дату оценки составил 1,05.</t>
    </r>
  </si>
  <si>
    <t>Цена в 2012 году, долларов</t>
  </si>
  <si>
    <t>Курс доллара на 2012 год</t>
  </si>
  <si>
    <t>Курс доллара на дату оценки</t>
  </si>
  <si>
    <t>Рост цен в США</t>
  </si>
  <si>
    <t>Лишние данные (если бы цена была дана в рублях, то надо было бы пересчитать обратно в доллары)</t>
  </si>
  <si>
    <t>Затраты на воспроизводство, руб.</t>
  </si>
  <si>
    <t>5.2.1.35. Первоначальная балансовая стоимость компрессора по состоянию на дату приобретения актива - 01.01.2010 - составляет 2 000 000 рублей. Нормативный срок службы и эффективный возраст компрессора составляют 15 и 8 лет соответственно. Определите рыночную стоимость данного основного средства по состоянию на дату оценки - 01.01.2015 - при условии, что индекс Росстата для похожего оборудования с даты приобретения по дату оценки составил 1,344.</t>
  </si>
  <si>
    <t>Стоимость на 2010 год</t>
  </si>
  <si>
    <t>Нормативный срок службы</t>
  </si>
  <si>
    <t>Индекс удорожания</t>
  </si>
  <si>
    <t>5.2.1.36. Определите физический износ машины после капитального ремонта. Физический износ машины до капитального ремонта составляет 75% и равномерен для всех деталей. В ходе капитального ремонта были заменены 3 агрегата, удельный вес которых в стоимости машины составляет 20% от стоимости новой машины.</t>
  </si>
  <si>
    <t>Износ до капитального ремонта</t>
  </si>
  <si>
    <t>Удельный вес 3 агрегатов</t>
  </si>
  <si>
    <t>Износ после капитального ремонта</t>
  </si>
  <si>
    <t>5.2.1.37. (4 балла). Стоимость приобретения у завода-изготовителя производственной линии А, показатель производительности которой равен 50 000 единиц в год, составляет 4 100 000 евро без НДС; стоимость приобретения производственной линии Б с производительностью 40 000 единиц в год - 3 400 000 евро без НДС. Определите затраты на замещение (без НДС) смонтированной линии С производительностью 60 000 единиц в год с использованием коэффициента торможения, а также при условии, что прямые расходы для данных активов составляют 32% от стоимости приобретения.</t>
  </si>
  <si>
    <t>Линия А</t>
  </si>
  <si>
    <t>Линия Б</t>
  </si>
  <si>
    <t>Стоимость</t>
  </si>
  <si>
    <t>Прямые расходы</t>
  </si>
  <si>
    <t>Затраты на замещение ОО</t>
  </si>
  <si>
    <t>Стоимость приобретения ОО</t>
  </si>
  <si>
    <t>LN( Цена линии А / Цена линии Б )</t>
  </si>
  <si>
    <t>LN( Параметр линии А / Параметр линии Б )</t>
  </si>
  <si>
    <t>Стоимость линии, долл.</t>
  </si>
  <si>
    <t>Масса линии, т.</t>
  </si>
  <si>
    <t>Фиксированная сумма доставки, долл.</t>
  </si>
  <si>
    <t>Фиксированная масса, т.</t>
  </si>
  <si>
    <t>Надбавка за превышение 50 тонн</t>
  </si>
  <si>
    <t>Курс доллара</t>
  </si>
  <si>
    <t>Монтаж и пуско-наладка, руб.</t>
  </si>
  <si>
    <t>Стоимость линии с учетом таможни</t>
  </si>
  <si>
    <t>Оплата доставки за превышение веса</t>
  </si>
  <si>
    <t>Общая стоимость доставки</t>
  </si>
  <si>
    <t>Стоимость с учетом таможни и доставки</t>
  </si>
  <si>
    <t>Стоимость в рублях</t>
  </si>
  <si>
    <t>Расчет оплаты за доставку разницы между 80 - 50 = 30 тонн, по 0,1млн.долл за каждую тонну</t>
  </si>
  <si>
    <t>Добавляем фиксированную сумму доставки 0,5 млн.долл.</t>
  </si>
  <si>
    <t>Без монтажа и пуско-наладки</t>
  </si>
  <si>
    <t>С монтажом и пуско-наладкой в рублях</t>
  </si>
  <si>
    <t>5.2.1.40. Определить величину функционального устаревания оборудования. Стоимость воспроизводства нового оцениваемого насоса 50000 руб, производительность по паспорту 3000 куб. м/час. В продаже имеется новая модель насоса по цене 60000 руб, производительностью 5000 куб.м/час. Коэффициент торможения по «производительности» для новой модели насоса 0,6.</t>
  </si>
  <si>
    <t>Стоимость воспроизводства</t>
  </si>
  <si>
    <t>Производительность по паспорту</t>
  </si>
  <si>
    <t>Цена новой модели</t>
  </si>
  <si>
    <t>Производительность новой модели</t>
  </si>
  <si>
    <t>Насос производительностью 3000</t>
  </si>
  <si>
    <t>Определяем стоимость нового насоса производительностью 3000 куб.м./час на основе новой модели</t>
  </si>
  <si>
    <t>Отношение новой модели и старого станка с одинаковыми производительностями</t>
  </si>
  <si>
    <t>5.2.1.41. Станок с износом 35% был продан за 100000. Определить стоимость воспроизводства/замещения нового станка.</t>
  </si>
  <si>
    <t>Аналог дороже объекта на 25%</t>
  </si>
  <si>
    <t>5.2.1.43. Предприятие приобрело оборудование за 10 млн. руб. Монтаж и пуско - наладка обошлись предприятию в 2 млн. руб. При этом, часть работ по монтажу была выполнена хоз. способом, за счёт чего было сэкономлено 1 млн. руб. Определить величину затрат на воспроизводство оборудования.</t>
  </si>
  <si>
    <t>Цена оборудования</t>
  </si>
  <si>
    <t>Монтаж и пуско-наладка</t>
  </si>
  <si>
    <t>Экономия за счет хоз. Способа</t>
  </si>
  <si>
    <t xml:space="preserve">На рынке экономии за счет выполнения хоз. способом нет. </t>
  </si>
  <si>
    <t>5.2.1.44. Оборудование поставлено на баланс предприятием в 2007 году. Оценщик индексным методом определил величину затрат на воспроизводство, которая составила 2 млн. руб. Нормативный срок службы данного оборудования 20 лет. Оборудование имеет физический износ 90%. Также оценщиком была найдена цена на данное оборудование от завода - изготовителя, которая составила 1,5 млн. руб. Затраты на монтаж оборудования определены в размере 300 тыс. руб. Других видов износа и устареваний оценщиком не выявлено. найти рыночную стоимость оборудования по состоянию на 2017 год.</t>
  </si>
  <si>
    <t>Цена завода-изготовителя</t>
  </si>
  <si>
    <t>Используется информация завода-изготовителя</t>
  </si>
  <si>
    <t>5.2.1.45. Насос приобретен в 2014 году. Оценщик методом индексации определил стоимость воспроизводства в 300 000 руб. Оценка производится в 2017 году. Эффективный возраст 8 лет, остаточный возраст 5 лет. Функциональный износ 20 %. Определить рыночную стоимость.</t>
  </si>
  <si>
    <t>Остаточный возраст, лет</t>
  </si>
  <si>
    <t>Срок жизни</t>
  </si>
  <si>
    <t>Доставка, монтаж, пуско-наладка</t>
  </si>
  <si>
    <t>Курс доллара в 2012</t>
  </si>
  <si>
    <t>Курс доллара в 2017</t>
  </si>
  <si>
    <t>Удорожание оборудования в США</t>
  </si>
  <si>
    <t>Цена оборудования в 2017 году, долл.</t>
  </si>
  <si>
    <t>Цена оборудования в 2017 году, руб.</t>
  </si>
  <si>
    <t>СМР в 2017 году, руб.</t>
  </si>
  <si>
    <t>РС Здания</t>
  </si>
  <si>
    <t>РС комплекса</t>
  </si>
  <si>
    <r>
      <t xml:space="preserve">5.2.1.47. Новая линия, состоящая из блока А и Б, установлена в здании. Рыночная стоимость имущественного комплекса 1 млрд. руб., рыночная стоимость здания – 350 млн. руб. Стоимость </t>
    </r>
    <r>
      <rPr>
        <b/>
        <sz val="14"/>
        <color rgb="FFFF0000"/>
        <rFont val="Calibri"/>
        <family val="2"/>
        <charset val="204"/>
        <scheme val="minor"/>
      </rPr>
      <t>несмонтированного</t>
    </r>
    <r>
      <rPr>
        <b/>
        <sz val="14"/>
        <color theme="1"/>
        <rFont val="Calibri"/>
        <family val="2"/>
        <charset val="204"/>
        <scheme val="minor"/>
      </rPr>
      <t xml:space="preserve"> блока А – 250 млн. руб., блока Б – 350 млн. руб., затраты на монтаж 60%. Определить величину внешнего устаревания.</t>
    </r>
  </si>
  <si>
    <t>Затраты на монтаж блока А</t>
  </si>
  <si>
    <t>Затраты на монтаж блока Б</t>
  </si>
  <si>
    <t>Стоимость несмонтированного блока А</t>
  </si>
  <si>
    <t>Стоимость несмонтированного блока Б</t>
  </si>
  <si>
    <t>Стоимость оборудования с монтажом</t>
  </si>
  <si>
    <t>Стоимость определяется как разница между РС комплекса и РС здания</t>
  </si>
  <si>
    <t>Стоимость линии из РС комплекса</t>
  </si>
  <si>
    <t>Цена оборудования в 2007 году, Евро</t>
  </si>
  <si>
    <t>Индекс цен в 2007 году</t>
  </si>
  <si>
    <t>Индекс цен в 2017 году</t>
  </si>
  <si>
    <t>Стоимость поставки с монтажом</t>
  </si>
  <si>
    <t>Таможенные платежи</t>
  </si>
  <si>
    <t>Кур Евро на дату поставки</t>
  </si>
  <si>
    <t>Кур Евро на дату оценки</t>
  </si>
  <si>
    <t>FCA включает таможенные формальности (экспортные таможенные платежи)</t>
  </si>
  <si>
    <t>Стоимость на дату оценки</t>
  </si>
  <si>
    <t>Цена приобретения</t>
  </si>
  <si>
    <t>Нормативный срок, мес.</t>
  </si>
  <si>
    <t>Монтаж</t>
  </si>
  <si>
    <t>Удорожание, в месяц</t>
  </si>
  <si>
    <t>Количество месяцев с даты приобретения</t>
  </si>
  <si>
    <t>Количество месяцев с даты ввода</t>
  </si>
  <si>
    <t>Стоимость нового с учетом роста цен</t>
  </si>
  <si>
    <t>От даты приобретения до даты оценки</t>
  </si>
  <si>
    <t>От даты ввода в эксплуатацию до даты оценки</t>
  </si>
  <si>
    <t>От стоимости нового с учетом роста цен</t>
  </si>
  <si>
    <t>Индекс цен в 2010 году</t>
  </si>
  <si>
    <t>Доставка, монтаж, пошлины</t>
  </si>
  <si>
    <t>Импортные пошлины</t>
  </si>
  <si>
    <t>Цена оборудования в 2010 году, долл</t>
  </si>
  <si>
    <t>Кур доллара на дату поставки</t>
  </si>
  <si>
    <t>Кур доллара на дату оценки</t>
  </si>
  <si>
    <t>5.2.1.51. Определите физический износ станка, нормативный срок службы которого составляет 15 лет. По состоянию на дату оценки возраст станка 10 лет. Один год назад был проведен ремонт машины, после которого эксперты оценили физический износ в 25%. Физический износ изменяется линейно.</t>
  </si>
  <si>
    <t>Возраст на дату оценки, лет</t>
  </si>
  <si>
    <t>Лет после капитального ремонта</t>
  </si>
  <si>
    <t>Нормативный износ в год</t>
  </si>
  <si>
    <t>Вариант 2</t>
  </si>
  <si>
    <t>Срок службы при износе 25%, лет</t>
  </si>
  <si>
    <t>Определяем эффективный возраст, соответствующий износу 25%</t>
  </si>
  <si>
    <t>Определяем возраст на дату оценки</t>
  </si>
  <si>
    <t>5.2.1.52. Объект построен и введен в эксплуатацию в начале 2000 года Срок службы объекта 25 лет. Оценка производится на начало 2017 года. В ходе проведения оценки было выявлено, что оставшийся срок службы объекта составляет 10 лет. Определить эффективный возраст объекта на год проведения оценки.</t>
  </si>
  <si>
    <t>5.2.1.53. Предприятие в начале 2010 года приобрело станок, не требующий монтажа, за 250 тыс. руб. Его текущая (восстановительная) стоимость в бухучете на начало 2017 г. составляет 400 000 руб. (стоимость изменялась за счет переоценок и учета стоимости ремонтов), остаточная стоимость 150 000 руб. Совокупный износ оборудования на дату оценки составляет 55%. Индекс изменения стоимости оборудования с начала 2010 года по начало 2017 г. составит 1,4. Рассчитайте рыночную стоимость оборудования на начало 2017 г.</t>
  </si>
  <si>
    <t>Восстановительная стоимость на 2017</t>
  </si>
  <si>
    <t>Остаточная стоимость на 2017</t>
  </si>
  <si>
    <t>Износ на дату оценки</t>
  </si>
  <si>
    <t>Цена приобретения в 2010</t>
  </si>
  <si>
    <t>Индекс изменения цен</t>
  </si>
  <si>
    <t>Лишние данные (не рыночные)</t>
  </si>
  <si>
    <t>5.2.1.54. Определить индекс изменения стоимости насосов производства США с 2007 по 2017 г. Индексы даны по отношению к 1964 году.
Год/Насосы: 2006 - 108; 2007 - 206; 2008 - 210 … 2017 - 215.
Год/Курс $: 2006 - 32; 2007 - 35; 2008 - 43; … 2017 - 60.</t>
  </si>
  <si>
    <t>Индекс 2007</t>
  </si>
  <si>
    <t>Индекс 2017</t>
  </si>
  <si>
    <t>Индекс изменения цен в $ 2007-2017</t>
  </si>
  <si>
    <t>Изменение курса</t>
  </si>
  <si>
    <t>Курс 2007</t>
  </si>
  <si>
    <t>Курс 2017</t>
  </si>
  <si>
    <t>Индекс изменения стоимости насосов</t>
  </si>
  <si>
    <t>5.2.1.55. Определить индекс изменения цен на оборудование с 31.12.2012 по 31.12.2015, если известно, что индекс изменения цен в 2012 году составил 1,15, в 2013 году – 1,12, в 2014 году – 1,09, в 2015 году – 1,12, в 2016 году – 1,08.</t>
  </si>
  <si>
    <t>Индекс изменения цен в 2012 году</t>
  </si>
  <si>
    <t>Индекс изменения цен в 2013 году</t>
  </si>
  <si>
    <t>Индекс изменения цен в 2014 году</t>
  </si>
  <si>
    <t>Индекс изменения цен в 2015 году</t>
  </si>
  <si>
    <t>Индекс изменения цен в 2016 году</t>
  </si>
  <si>
    <t>Индекс с 31.12.2012 по 31.12.2015</t>
  </si>
  <si>
    <t>Индекс не учитываем, поскольку 31.12.2012 - последний день года.</t>
  </si>
  <si>
    <t>Зарплата рядового спеца, в мес.</t>
  </si>
  <si>
    <t>Зарплата высокого спеца, в мес.</t>
  </si>
  <si>
    <t>Отчисления с ЗП</t>
  </si>
  <si>
    <t>Ставка капитализации</t>
  </si>
  <si>
    <r>
      <t xml:space="preserve">5.2.1.56. Определить функциональное устаревание линии, которую обслуживают два рядовых специалиста. Для обслуживания современной аналогичной линии требуется 1 специалист высокой квалификации. Зарплата рядового специалиста – 700 руб. в месяц, высококвалифицированного – 1 000 руб. в месяц. Отчисления с ЗП составляют 35,6%. Известно, что специалисты определили оставшийся срок жизни линии — 5 лет. Определить функциональный износ. Ставка </t>
    </r>
    <r>
      <rPr>
        <b/>
        <sz val="14"/>
        <color rgb="FFFF0000"/>
        <rFont val="Calibri"/>
        <family val="2"/>
        <charset val="204"/>
        <scheme val="minor"/>
      </rPr>
      <t>капитализации</t>
    </r>
    <r>
      <rPr>
        <b/>
        <sz val="14"/>
        <color theme="1"/>
        <rFont val="Calibri"/>
        <family val="2"/>
        <charset val="204"/>
        <scheme val="minor"/>
      </rPr>
      <t xml:space="preserve"> 31%. Дисконтирование производится на конец каждого </t>
    </r>
    <r>
      <rPr>
        <b/>
        <sz val="14"/>
        <color rgb="FFFF0000"/>
        <rFont val="Calibri"/>
        <family val="2"/>
        <charset val="204"/>
        <scheme val="minor"/>
      </rPr>
      <t>месяца</t>
    </r>
    <r>
      <rPr>
        <b/>
        <sz val="14"/>
        <color theme="1"/>
        <rFont val="Calibri"/>
        <family val="2"/>
        <charset val="204"/>
        <scheme val="minor"/>
      </rPr>
      <t>. Эффект от разницы налога на прибыль не учитывать.</t>
    </r>
  </si>
  <si>
    <t>ЗП двух рядовых спецов с отчислениями</t>
  </si>
  <si>
    <t>ЗП высокого спеца с отчислениями</t>
  </si>
  <si>
    <t>Ежемесячная разница</t>
  </si>
  <si>
    <t>Приведенная стоимость разницы ЗП</t>
  </si>
  <si>
    <r>
      <t xml:space="preserve">Ставка дисконтирования </t>
    </r>
    <r>
      <rPr>
        <sz val="14"/>
        <color rgb="FFFF0000"/>
        <rFont val="Calibri"/>
        <family val="2"/>
        <charset val="204"/>
        <scheme val="minor"/>
      </rPr>
      <t>годовая</t>
    </r>
  </si>
  <si>
    <t>Ставка дисконтирования в месяц</t>
  </si>
  <si>
    <t>Количество периодов дисконтирования</t>
  </si>
  <si>
    <t>Норма возврата капитала (годовая)</t>
  </si>
  <si>
    <t>Индекс 01.01.2007-01.12.2010</t>
  </si>
  <si>
    <t>Прирост 01.12.2010-31.12.2010</t>
  </si>
  <si>
    <r>
      <t xml:space="preserve">5.2.1.58. Первоначальная балансовая стоимость оборудования на начало 2007 года – 30 500 руб. Определить стоимость оборудования по состоянию на 01.01.2011, если индекс Росстата за период с 01.01.2007 по 01.12.2010 составил 2,045, </t>
    </r>
    <r>
      <rPr>
        <b/>
        <sz val="14"/>
        <color rgb="FFFF0000"/>
        <rFont val="Calibri"/>
        <family val="2"/>
        <charset val="204"/>
        <scheme val="minor"/>
      </rPr>
      <t>прирост</t>
    </r>
    <r>
      <rPr>
        <b/>
        <sz val="14"/>
        <color theme="1"/>
        <rFont val="Calibri"/>
        <family val="2"/>
        <charset val="204"/>
        <scheme val="minor"/>
      </rPr>
      <t xml:space="preserve"> стоимости с 01.12.2010 по 31.12.2010 составил 6,08%.</t>
    </r>
  </si>
  <si>
    <t>Стоимость на 01.01.2011</t>
  </si>
  <si>
    <t>5.2.1.59. Определить оставшийся срок службы горнопроходческой линии. Начало эксплуатации - апрель 2012, нормативный срок службы 7 лет. Дата определения оставшегося срока службы – апрель 2015. Годовая норма выработки 1 045 000 тн. Оставшийся объем запасов 3,4 млн.тн. Линия смонтирована под данную выработку, по истечении добычи ее демонтируют.</t>
  </si>
  <si>
    <t>Начало эксплуатации</t>
  </si>
  <si>
    <t>Дата определения срока службы</t>
  </si>
  <si>
    <t>Сколько может проработать линия?</t>
  </si>
  <si>
    <t>Запасов осталось меньше, чем может прослужить линия, а по истечении добычи её демонтируют.</t>
  </si>
  <si>
    <t>Цена станка в 2010, руб.</t>
  </si>
  <si>
    <t>Износ оборудования</t>
  </si>
  <si>
    <t>Индекс 2010</t>
  </si>
  <si>
    <t>Индекс 2016</t>
  </si>
  <si>
    <t>Лишняя информация</t>
  </si>
  <si>
    <t>5.2.1.61. Агрегат состоит из турбины и генератора. Возраст агрегата 25 лет. Срок службы турбины 40 лет. Срок службы генератора 20 лет. 5 лет назад (по истечении срока службы генератора) генератор был заменён на новый. Затраты на замену генератора составляют 70% от стоимости нового агрегата. Определить износ агрегата</t>
  </si>
  <si>
    <t>Возраст агрегата, лет</t>
  </si>
  <si>
    <t>Срок службы турбины, лет</t>
  </si>
  <si>
    <t>Срок службы генератора, лет</t>
  </si>
  <si>
    <t>Возраст заменённого генератора, лет</t>
  </si>
  <si>
    <t>Вес генератора в стоимости</t>
  </si>
  <si>
    <t>Износ генератора</t>
  </si>
  <si>
    <r>
      <t xml:space="preserve">5.2.1.62. Агрегат состоит из турбины и генератора. Возраст агрегата 25 лет. Срок службы турбины 40 лет. Срок службы генератора 20 лет. 5 лет назад (по истечении срока службы генератора) генератор был заменён на новый. Затраты на замену генератора составляют 70% </t>
    </r>
    <r>
      <rPr>
        <b/>
        <sz val="14"/>
        <color rgb="FFFF0000"/>
        <rFont val="Calibri"/>
        <family val="2"/>
        <charset val="204"/>
        <scheme val="minor"/>
      </rPr>
      <t>от затрат на замену турбины</t>
    </r>
    <r>
      <rPr>
        <b/>
        <sz val="14"/>
        <color theme="1"/>
        <rFont val="Calibri"/>
        <family val="2"/>
        <charset val="204"/>
        <scheme val="minor"/>
      </rPr>
      <t>. Определить износ агрегата</t>
    </r>
  </si>
  <si>
    <r>
      <t>Вес генератора (</t>
    </r>
    <r>
      <rPr>
        <sz val="14"/>
        <color rgb="FFFF0000"/>
        <rFont val="Calibri"/>
        <family val="2"/>
        <charset val="204"/>
        <scheme val="minor"/>
      </rPr>
      <t>от затрат на турбину</t>
    </r>
    <r>
      <rPr>
        <sz val="14"/>
        <color theme="1"/>
        <rFont val="Calibri"/>
        <family val="2"/>
        <charset val="204"/>
        <scheme val="minor"/>
      </rPr>
      <t>)</t>
    </r>
  </si>
  <si>
    <t>Износ турбины</t>
  </si>
  <si>
    <t>Вес турбины в стоимости</t>
  </si>
  <si>
    <t>Если генератор составляет 70% от турбины, то турбина составляет 100%, а вместе они 170%</t>
  </si>
  <si>
    <t>Расходы по ОО</t>
  </si>
  <si>
    <t>Расходы по ОА</t>
  </si>
  <si>
    <t>Разница</t>
  </si>
  <si>
    <r>
      <t xml:space="preserve">5.2.1.63. (4 балла). Определить функциональное устаревание оборудования. Расходы по объекту оценки – 100 т.р. в год, по новому объекту – 60 т.р. в год. Срок службы – 3 года, после чего оборудование обесценивается. Рост цен – 10% в год, начисляется </t>
    </r>
    <r>
      <rPr>
        <b/>
        <sz val="14"/>
        <color rgb="FFFF0000"/>
        <rFont val="Calibri"/>
        <family val="2"/>
        <charset val="204"/>
        <scheme val="minor"/>
      </rPr>
      <t>в начале года</t>
    </r>
    <r>
      <rPr>
        <b/>
        <sz val="14"/>
        <color theme="1"/>
        <rFont val="Calibri"/>
        <family val="2"/>
        <charset val="204"/>
        <scheme val="minor"/>
      </rPr>
      <t xml:space="preserve">. Ставка дисконтирования – 15%, дисконтировать на середину периода. </t>
    </r>
  </si>
  <si>
    <t>5.2.1.64. Оборудование балансовой стоимостью 4 млн. рублей, возраст 3 года, мощность 2,5кВт. Оценщик обнаружил на рынке на дату оценки аналогичное оборудование с таким же возрастом и такой же мощности, стоимость которого - 2 млн. руб. Определить стоимость замещения или воспроизводства оборудования, если масса объекта оценки 10 тонн, а масса аналога 9 тонн. Масса оказывает пропорциональное влияние на стоимость. Скидка на торг 10%.</t>
  </si>
  <si>
    <t>Балансовая стоимость</t>
  </si>
  <si>
    <t>Мощность, кВт</t>
  </si>
  <si>
    <t>Стоимость аналогичного</t>
  </si>
  <si>
    <t>Масса ОО, т.</t>
  </si>
  <si>
    <t>Масса ОА, т.</t>
  </si>
  <si>
    <t>Стоимость аналога со скидкой на торг</t>
  </si>
  <si>
    <t>Стоимость замещения ОО</t>
  </si>
  <si>
    <t>Стоимость за одну тонну массы</t>
  </si>
  <si>
    <t>Стоимость в 2007 году</t>
  </si>
  <si>
    <t>Индекс удорожания 2007-2017</t>
  </si>
  <si>
    <t>Стоимость нового в 2017 году</t>
  </si>
  <si>
    <r>
      <t xml:space="preserve">5.2.1.65. Предприятие закупило в 2007 г. новое оборудование с конвейером длиной 500 м за 10 млн. руб. В 2010 г. по техническим причинам 200 м конвейера вышли из строя. Затраты на ремонт составили 5 млн. руб. Индекс удорожания аналогичного оборудования с 2007 г. по 2017 г. составил 1,5. Сколько стоит аналогичное </t>
    </r>
    <r>
      <rPr>
        <b/>
        <sz val="14"/>
        <color rgb="FFFF0000"/>
        <rFont val="Calibri"/>
        <family val="2"/>
        <charset val="204"/>
        <scheme val="minor"/>
      </rPr>
      <t>новое</t>
    </r>
    <r>
      <rPr>
        <b/>
        <sz val="14"/>
        <color theme="1"/>
        <rFont val="Calibri"/>
        <family val="2"/>
        <charset val="204"/>
        <scheme val="minor"/>
      </rPr>
      <t xml:space="preserve"> оборудование по состоянию на 2017 год?</t>
    </r>
  </si>
  <si>
    <t>5.2.1.66. Станок в новом состоянии стоит 150 000 руб. Определить износ станка через 7 лет после ввода в эксплуатацию, если планируется, что через 10 лет его остаточная стоимость составит 10 тыс. руб. Через 5 лет проводится плановый капитальный ремонт станка стоимостью 27 000 руб.</t>
  </si>
  <si>
    <t>Стоимость через 10 лет</t>
  </si>
  <si>
    <t>Стоимость ремонта через 5 лет</t>
  </si>
  <si>
    <t>Доля короткоживущих элементов</t>
  </si>
  <si>
    <t>Доля "остаточной стоимости"</t>
  </si>
  <si>
    <t>В сумме все три доли должны составить 100% (для проверки)</t>
  </si>
  <si>
    <t>Износ короткоживущих</t>
  </si>
  <si>
    <t>( 7 лет - 5 лет ) / 5 лет</t>
  </si>
  <si>
    <t>Износ долгоживущих</t>
  </si>
  <si>
    <t>7 лет / срок жизни</t>
  </si>
  <si>
    <t>Износ станка</t>
  </si>
  <si>
    <t>Первая составляющая</t>
  </si>
  <si>
    <t>Вторая составляющая</t>
  </si>
  <si>
    <t>(Стоимость нового - Утилизационная - Стоимость ремонта)/ Стоимость нового * Возраст / Срок службы</t>
  </si>
  <si>
    <t>(Стоимость ремонта / Стоимость нового) * ( Возраст - Межремонтный срок) / Межремонтный срок</t>
  </si>
  <si>
    <t>5.2.1.67. Стоимость нового резервуара емкостью 100 куб.м - 140 000 руб., емкостью 200 куб.м - 250 000 руб. Затраты на доставку 20 000 рублей. Стоимость монтажа 70% без учета доставки. Оценить стоимость резервуара емкостью 150 куб.м с учетом всех видов устареваний. Эффективный возраст 5 лет, нормативный срок службы 15 лет. Функциональный износ 30%.</t>
  </si>
  <si>
    <t>Емкость</t>
  </si>
  <si>
    <t>LN</t>
  </si>
  <si>
    <t>b</t>
  </si>
  <si>
    <t>Стоимость монтажа</t>
  </si>
  <si>
    <t>Затраты на доставку</t>
  </si>
  <si>
    <t>Цена + Монтаж + Доставка</t>
  </si>
  <si>
    <t>Курс на дату постановки на баланс</t>
  </si>
  <si>
    <t>Индекс на дату постановки на баланс</t>
  </si>
  <si>
    <t>Индекс на дату оценки</t>
  </si>
  <si>
    <t>Индекс в РФ на дату оценки</t>
  </si>
  <si>
    <t>Индекс в РФ на дату постановки</t>
  </si>
  <si>
    <t>Первоначальная балансовая, в валюте</t>
  </si>
  <si>
    <t>Стоимость на дату оценки в валюте</t>
  </si>
  <si>
    <t>Индекс Евростата</t>
  </si>
  <si>
    <t>Стоимость на дату оценки в рублях</t>
  </si>
  <si>
    <t>Умножаем на курс на дату оценки</t>
  </si>
  <si>
    <t>5.2.1.69. Предприятие купило оборудование производительностью 8 деталей. Сейчас оборудование производительностью 10 деталей продается по такой же стоимости. Коэффициент торможения 0,75. Найти функциональный износ в процентах.</t>
  </si>
  <si>
    <t>Производительность объекта</t>
  </si>
  <si>
    <t>Производительность аналога</t>
  </si>
  <si>
    <t>Стоимость нового (8 деталей)</t>
  </si>
  <si>
    <t>Первоначальная стоимость</t>
  </si>
  <si>
    <t>Предельный физический износ</t>
  </si>
  <si>
    <t>Дата постановки на баланс</t>
  </si>
  <si>
    <t>Дата начала эксплуатации</t>
  </si>
  <si>
    <t>Расчетный физический износ</t>
  </si>
  <si>
    <t>( Дата оценки - Дата начала эксплуатации ) / Срок жизни</t>
  </si>
  <si>
    <t>Используем значение предельного износа</t>
  </si>
  <si>
    <t>5.2.1.71. На дату оценки стоимость приобретения линии производительностью 100 ед./год составляет 110 000 руб., а для линий производительностью 140 ед./год 140 000 руб. Производительность объекта оценки на дату оценки 160 ед./год. Функциональный износ линии 10%. Экономическое устаревание составляет 5%. Затраты на монтаж 70% от стоимости приобретения. Хронологический возраст линии составляет 15 лет. Нормативный срок эксплуатации объекта оценки равен 25 лет. В ходе проведения работ по оценке было выявлено, что эффективный возраст оцениваемого объекта составляет 12 лет. Определить рыночную стоимость объекта оценки, износ определяется по мультипликативной модели.</t>
  </si>
  <si>
    <t>Цена + Монтаж</t>
  </si>
  <si>
    <t>5.2.1.72. Известно, что индекс изменения цен в 2012 году составил 1,12, в 2013 году – 1,15, в 2014 году – 1,1, в 2015 году – 1,12, в 2016 году – 1,08. Определить, на сколько процентов изменится стоимость за период с 31.12.2012 по 31.12.2015.</t>
  </si>
  <si>
    <t>Индекс за 2012 год не берём, поскольку необходимо рассчитать изменение с 31.12.2012</t>
  </si>
  <si>
    <t>На сколько изменилась стоимость?</t>
  </si>
  <si>
    <t>ЗП работников ОО</t>
  </si>
  <si>
    <t>Нужно работников ОО</t>
  </si>
  <si>
    <t>ЗП работников ОА</t>
  </si>
  <si>
    <t>Нужно работников ОА</t>
  </si>
  <si>
    <t>Начисления на ЗП</t>
  </si>
  <si>
    <t>Оставшийся срок, лет</t>
  </si>
  <si>
    <t>Количество периодов</t>
  </si>
  <si>
    <r>
      <t>Ставка дисконтирования (</t>
    </r>
    <r>
      <rPr>
        <sz val="14"/>
        <color rgb="FFFF0000"/>
        <rFont val="Calibri"/>
        <family val="2"/>
        <charset val="204"/>
        <scheme val="minor"/>
      </rPr>
      <t>в месяц</t>
    </r>
    <r>
      <rPr>
        <sz val="14"/>
        <color theme="1"/>
        <rFont val="Calibri"/>
        <family val="2"/>
        <charset val="204"/>
        <scheme val="minor"/>
      </rPr>
      <t>)</t>
    </r>
  </si>
  <si>
    <r>
      <t>Разница в зарплате (</t>
    </r>
    <r>
      <rPr>
        <sz val="14"/>
        <color rgb="FFFF0000"/>
        <rFont val="Calibri"/>
        <family val="2"/>
        <charset val="204"/>
        <scheme val="minor"/>
      </rPr>
      <t>в месяц</t>
    </r>
    <r>
      <rPr>
        <sz val="14"/>
        <color theme="1"/>
        <rFont val="Calibri"/>
        <family val="2"/>
        <charset val="204"/>
        <scheme val="minor"/>
      </rPr>
      <t>)</t>
    </r>
  </si>
  <si>
    <t>Разница в обслуживании (в месяц)</t>
  </si>
  <si>
    <t>Стоимость аналога</t>
  </si>
  <si>
    <t>Физический износ, руб</t>
  </si>
  <si>
    <t>или</t>
  </si>
  <si>
    <t>5 лет по 12 месяцев</t>
  </si>
  <si>
    <t>Годовая ставка / 12 месяцев</t>
  </si>
  <si>
    <t>Нормативный срок - Оставшийся срок</t>
  </si>
  <si>
    <t>Эффективный возраст / Нормативный срок</t>
  </si>
  <si>
    <t>5.2.1.74. Производительность станка составляет 3000 единиц продукции в 3 смены. В связи с экономической ситуацией, станок выпускает 2000 единиц продукции в 2 смены. Имеется информация, что коэффициент торможения "на размер станка" составляет 0,7. Определите величину внешнего износа.</t>
  </si>
  <si>
    <t>Производительность без износа</t>
  </si>
  <si>
    <t>Производительность с износом</t>
  </si>
  <si>
    <t>Затраты на воспроизводство (оценщик)</t>
  </si>
  <si>
    <t>Предельный допустимый износ</t>
  </si>
  <si>
    <t>Если есть данные завода, зачем индексация?</t>
  </si>
  <si>
    <t>( Дата оценки - Дата постановки на баланс ) / Срок службы</t>
  </si>
  <si>
    <t>Используем предельно допустимый износ (оборудование до сих пор работает)</t>
  </si>
  <si>
    <t>Выпечка</t>
  </si>
  <si>
    <t>Упаковка</t>
  </si>
  <si>
    <t>Тесто</t>
  </si>
  <si>
    <t>Сколько лет назад куплен</t>
  </si>
  <si>
    <t>Износ на момент покупки</t>
  </si>
  <si>
    <t>Эффективный возраст (ЭВ) при покупке</t>
  </si>
  <si>
    <t>Снижение ЭВ при покупке</t>
  </si>
  <si>
    <t>ЭВ на дату покупки (с ремонтом)</t>
  </si>
  <si>
    <t>Остаточный срок при покупке</t>
  </si>
  <si>
    <t>Цена покупки (с НДС)</t>
  </si>
  <si>
    <t>Скорость износа</t>
  </si>
  <si>
    <t>1 - нормальный износ, 1,5 - в полтора раза выше нормального</t>
  </si>
  <si>
    <t>Ежегодный прирост цен</t>
  </si>
  <si>
    <t>Износ на дату покупки (с ремонтами)</t>
  </si>
  <si>
    <t>Стоимость нового на дату покупки</t>
  </si>
  <si>
    <t>Для выпечки сразу добавляем НДС (поставлен на баланс, а не куплен)</t>
  </si>
  <si>
    <t>Стоимость нового на дату оценки без НДС</t>
  </si>
  <si>
    <t>Без НДС</t>
  </si>
  <si>
    <t>ЭВ на дату оценки</t>
  </si>
  <si>
    <t>С учетом скорости износа и сколько лет назад куплен</t>
  </si>
  <si>
    <t>Износ на дату оценки в рублях (с НДС)</t>
  </si>
  <si>
    <t>Стоимость нового на дату оценки с НДС</t>
  </si>
  <si>
    <t>Стоимость на дату оценки с НДС</t>
  </si>
  <si>
    <t>Доля в стоимости</t>
  </si>
  <si>
    <t>Среднегодовой износ</t>
  </si>
  <si>
    <t>1 / Нормативный срок службы</t>
  </si>
  <si>
    <t>Среднегодовой износ в рублях с НДС</t>
  </si>
  <si>
    <t>В рублях и % от стоимости нового</t>
  </si>
  <si>
    <t>С учетом ретроспективной покупки и ежегодного роста цен</t>
  </si>
  <si>
    <t>Через год после даты оценки</t>
  </si>
  <si>
    <t>Стоимость нового через год с НДС</t>
  </si>
  <si>
    <t>ЭВ через год после даты оценки</t>
  </si>
  <si>
    <t>Износ через год после даты оценки</t>
  </si>
  <si>
    <t>Вариант расчета износа через год с учетом долей в стоимости</t>
  </si>
  <si>
    <t>В рублях и % от стоимости нового (через год)</t>
  </si>
  <si>
    <t>ЭВ / Нормативный срок</t>
  </si>
  <si>
    <t>Индекс 2010-2013</t>
  </si>
  <si>
    <t>Рост цен 2013-2015</t>
  </si>
  <si>
    <t>Уменьшение цен 2015-2018, в</t>
  </si>
  <si>
    <t>Решение</t>
  </si>
  <si>
    <t>Изменение цен 2010-2018</t>
  </si>
  <si>
    <t>ОА3</t>
  </si>
  <si>
    <t>Затраты</t>
  </si>
  <si>
    <t>Объем</t>
  </si>
  <si>
    <t>Доставка и монтаж</t>
  </si>
  <si>
    <t>Затраты за замещение</t>
  </si>
  <si>
    <t>Начальная дата</t>
  </si>
  <si>
    <t>Конечная дата</t>
  </si>
  <si>
    <t>Количество месяцев 01.01.10-01.01.18</t>
  </si>
  <si>
    <t>Среднемесячное изменение цен</t>
  </si>
  <si>
    <t>Количество лет 01.01.10-01.01.18</t>
  </si>
  <si>
    <t>Корень 8-й степени из индекса 2010-2018</t>
  </si>
  <si>
    <t>Функция может быть не документирована в MS Excel (отсутствовать в перечне функций, но работать)</t>
  </si>
  <si>
    <r>
      <t>Индекс 20</t>
    </r>
    <r>
      <rPr>
        <b/>
        <sz val="14"/>
        <color rgb="FFFF0000"/>
        <rFont val="Calibri"/>
        <family val="2"/>
        <charset val="204"/>
        <scheme val="minor"/>
      </rPr>
      <t>13</t>
    </r>
    <r>
      <rPr>
        <sz val="14"/>
        <color theme="1"/>
        <rFont val="Calibri"/>
        <family val="2"/>
        <charset val="204"/>
        <scheme val="minor"/>
      </rPr>
      <t>-20</t>
    </r>
    <r>
      <rPr>
        <b/>
        <sz val="14"/>
        <color rgb="FFFF0000"/>
        <rFont val="Calibri"/>
        <family val="2"/>
        <charset val="204"/>
        <scheme val="minor"/>
      </rPr>
      <t>10</t>
    </r>
  </si>
  <si>
    <r>
      <t>Изменение цен 20</t>
    </r>
    <r>
      <rPr>
        <b/>
        <sz val="14"/>
        <color rgb="FFFF0000"/>
        <rFont val="Calibri"/>
        <family val="2"/>
        <charset val="204"/>
        <scheme val="minor"/>
      </rPr>
      <t>10</t>
    </r>
    <r>
      <rPr>
        <sz val="14"/>
        <color theme="1"/>
        <rFont val="Calibri"/>
        <family val="2"/>
        <charset val="204"/>
        <scheme val="minor"/>
      </rPr>
      <t>-20</t>
    </r>
    <r>
      <rPr>
        <b/>
        <sz val="14"/>
        <color rgb="FFFF0000"/>
        <rFont val="Calibri"/>
        <family val="2"/>
        <charset val="204"/>
        <scheme val="minor"/>
      </rPr>
      <t>13</t>
    </r>
  </si>
  <si>
    <r>
      <t xml:space="preserve">Увеличение </t>
    </r>
    <r>
      <rPr>
        <b/>
        <i/>
        <sz val="14"/>
        <color rgb="FFFF0000"/>
        <rFont val="Calibri"/>
        <family val="2"/>
        <charset val="204"/>
        <scheme val="minor"/>
      </rPr>
      <t>на</t>
    </r>
    <r>
      <rPr>
        <i/>
        <sz val="14"/>
        <color theme="1"/>
        <rFont val="Calibri"/>
        <family val="2"/>
        <charset val="204"/>
        <scheme val="minor"/>
      </rPr>
      <t xml:space="preserve"> 110%</t>
    </r>
  </si>
  <si>
    <r>
      <t>Изменение цен 20</t>
    </r>
    <r>
      <rPr>
        <b/>
        <sz val="14"/>
        <color rgb="FFFF0000"/>
        <rFont val="Calibri"/>
        <family val="2"/>
        <charset val="204"/>
        <scheme val="minor"/>
      </rPr>
      <t>18</t>
    </r>
    <r>
      <rPr>
        <sz val="14"/>
        <color theme="1"/>
        <rFont val="Calibri"/>
        <family val="2"/>
        <charset val="204"/>
        <scheme val="minor"/>
      </rPr>
      <t>-20</t>
    </r>
    <r>
      <rPr>
        <b/>
        <sz val="14"/>
        <color rgb="FFFF0000"/>
        <rFont val="Calibri"/>
        <family val="2"/>
        <charset val="204"/>
        <scheme val="minor"/>
      </rPr>
      <t>10</t>
    </r>
  </si>
  <si>
    <t>Разница в энергопотреблении</t>
  </si>
  <si>
    <t>Инфляция</t>
  </si>
  <si>
    <t>Разница с учетом инфляции</t>
  </si>
  <si>
    <t>Смотрите также задачу 5.2.1.88</t>
  </si>
  <si>
    <t>Смотрите также задачу 5.2.1.63</t>
  </si>
  <si>
    <t>Диаметр заготовки</t>
  </si>
  <si>
    <t>ЭВ за год до даты оценки</t>
  </si>
  <si>
    <t>Износ за год до даты оценки</t>
  </si>
  <si>
    <t>5.2.2.1. Станок с износом 40% стоит 100 000 руб. Определите стоимость станка с износом 50%.</t>
  </si>
  <si>
    <t>Износ аналога</t>
  </si>
  <si>
    <t>Износ объекта</t>
  </si>
  <si>
    <t>Стоимость нового аналога</t>
  </si>
  <si>
    <t>5.2.2.2. (4 балла). Определить рыночную стоимость (с учетом НДС, НДС 18%) несмонтированного емкостного оборудования по состоянию на июнь 2016г. по приведённым аналогам. Характеристики оцениваемого объекта: 1999 года выпуска; в отличном состоянии; из углеродистой стали; массой 7 т; произведен в Европе. Указанные далее аналоги считать равноценными. Аналоги демонтированы, продаются со склада. Величиной прочих затрат в целях данной задачи пренебречь. Найденные предложения на рынке:</t>
  </si>
  <si>
    <t>Показатель</t>
  </si>
  <si>
    <t>Дата предложения</t>
  </si>
  <si>
    <t>июнь 2016</t>
  </si>
  <si>
    <t>Цена, с НДС</t>
  </si>
  <si>
    <t>Состояние</t>
  </si>
  <si>
    <t>хорошее</t>
  </si>
  <si>
    <t>Материал</t>
  </si>
  <si>
    <t>Углеродистая сталь</t>
  </si>
  <si>
    <t>Нержавеющая сталь</t>
  </si>
  <si>
    <t>Масса, т</t>
  </si>
  <si>
    <t>Страна</t>
  </si>
  <si>
    <t>Россия</t>
  </si>
  <si>
    <t>Евросоюз</t>
  </si>
  <si>
    <t>Корректировка на регион производства</t>
  </si>
  <si>
    <t>Регион</t>
  </si>
  <si>
    <t>Азия</t>
  </si>
  <si>
    <t>к России</t>
  </si>
  <si>
    <t>Корректировка на состояние</t>
  </si>
  <si>
    <t>к хорошему</t>
  </si>
  <si>
    <t>Удовлетворительное</t>
  </si>
  <si>
    <t>Хорошее</t>
  </si>
  <si>
    <t>Отличное</t>
  </si>
  <si>
    <t>Корректировка на период выпуска</t>
  </si>
  <si>
    <t>Период выпуска</t>
  </si>
  <si>
    <t>Значение</t>
  </si>
  <si>
    <t>1989-1993</t>
  </si>
  <si>
    <t>1994-1998</t>
  </si>
  <si>
    <t>1999-2003</t>
  </si>
  <si>
    <t>2004-2008</t>
  </si>
  <si>
    <t>Корректировка на материал</t>
  </si>
  <si>
    <t>Коэфф.</t>
  </si>
  <si>
    <t>Дата</t>
  </si>
  <si>
    <t>Цена аналога</t>
  </si>
  <si>
    <t>Год выпуска</t>
  </si>
  <si>
    <t>отличное</t>
  </si>
  <si>
    <t>Регион производства</t>
  </si>
  <si>
    <t>1,2</t>
  </si>
  <si>
    <t>1</t>
  </si>
  <si>
    <t>3,5</t>
  </si>
  <si>
    <t>1,3</t>
  </si>
  <si>
    <t>Скорректированная стоимость</t>
  </si>
  <si>
    <t>Среднее</t>
  </si>
  <si>
    <t>Стоимость 1 кВт</t>
  </si>
  <si>
    <t>5.2.2.5. Рыночная стоимость аналога с износом 40% составляет 100000 руб. Определить поправочный коэффициент для объекта оценки с износом 60%.</t>
  </si>
  <si>
    <t>ОО/ОА (Не отношение износов, а отношение стоимостей)</t>
  </si>
  <si>
    <t>Коэффициент</t>
  </si>
  <si>
    <t>5.2.2.6. Определить рыночную стоимость токарного станка мощностью 30 кВт, если аналог при мощности 35 кВт стоит 100 000 руб.
Известны величины коэффициентов торможения:
1) для металлорежущих станков по размерам заготовки – 0,7;
2) для металлорежущих станков по мощности – 0,8;
3) для общепромышленного оборудования – 0,6.</t>
  </si>
  <si>
    <t>Мощность ОО, кВт</t>
  </si>
  <si>
    <t>Мощность ОА, кВт</t>
  </si>
  <si>
    <t>Цена ОА</t>
  </si>
  <si>
    <t>Внимательно выбираем коэффициент торможения</t>
  </si>
  <si>
    <t>5.2.2.7. Рассчитайте среднерыночную скидку на торг.
Цена предложения объекта 1 - 300 тыс. рублей, цена сделки - 260 тыс. рублей.
Цена предложения объекта 2 - 500 тыс. рублей, цена сделки - 440 тыс. рублей.
Цена предложения объекта 3 - 400 тыс. рублей, цена сделки - 350 тыс. рублей.</t>
  </si>
  <si>
    <t>Объект 1</t>
  </si>
  <si>
    <t>Объект 2</t>
  </si>
  <si>
    <t>Объект 3</t>
  </si>
  <si>
    <t>Предложение</t>
  </si>
  <si>
    <t>Сделка</t>
  </si>
  <si>
    <t>Скидка</t>
  </si>
  <si>
    <t>5.2.2.8. Объект оценки – седельный тягач Mercedes Actros, 2010 год выпуска, пробег 495 045 км. Дата оценки 31.12.2016 г. Выбрать из таблицы наиболее подходящие аналоги и рассчитать рыночную стоимость объекта оценки. При различии значений пробегов менее 10% корректировка на пробег не вносится. Среднерыночная скидка на торг 10%.</t>
  </si>
  <si>
    <t>ОА4</t>
  </si>
  <si>
    <t>ОА5</t>
  </si>
  <si>
    <t>Марка и модель</t>
  </si>
  <si>
    <t>Mercedes Actros</t>
  </si>
  <si>
    <t>Камаз 6520</t>
  </si>
  <si>
    <t>Пробег, км</t>
  </si>
  <si>
    <t>Разница в пробеге</t>
  </si>
  <si>
    <t>Скорректированная цена</t>
  </si>
  <si>
    <t>Цена с НДС</t>
  </si>
  <si>
    <t>Дата сделки</t>
  </si>
  <si>
    <t>январь 2018</t>
  </si>
  <si>
    <t>декабрь 2017</t>
  </si>
  <si>
    <t>январь 2017</t>
  </si>
  <si>
    <t>Средняя цена продажи</t>
  </si>
  <si>
    <t>Рассчитываем из подходящий аналогов №2, №3, и №5</t>
  </si>
  <si>
    <t>Стоимость нового в 2007 году</t>
  </si>
  <si>
    <t>Стоимость монтажа в 2007</t>
  </si>
  <si>
    <t>Рост СМР к дате оценки</t>
  </si>
  <si>
    <t>Стоимость монтажа на дату продажи</t>
  </si>
  <si>
    <t>Затраты на демонтаж (от монтажа)</t>
  </si>
  <si>
    <t>Услуги брокера от цены продажи</t>
  </si>
  <si>
    <t>Продавец получит на руки</t>
  </si>
  <si>
    <t>Не хватает данных</t>
  </si>
  <si>
    <t>В данном случае грузоподъемность выходи за пределы зависимости.</t>
  </si>
  <si>
    <t>5.2.2.11. Определить стоимость ножовочного станка с характеристиками диаметр 250 мм, мощность 2,2 кВт. Стоимость аналогичных станков описывается регрессионно-корреляционной зависимостью у = 1,888 * Х1^0,4 * Х2^0,7 * Кв^0,2, где Х1- диаметр в мм, Х2 – мощность в кВт; коэффициент Кв равен: 1 - для токарного станка, 2 – для ножовочного станка , 3 - для сверлильного станка.</t>
  </si>
  <si>
    <t>Диаметр, мм</t>
  </si>
  <si>
    <t>Правильно выбираем коэффициент</t>
  </si>
  <si>
    <t>5.2.2.12. Покупателем автомобиля выявлена обратная зависимость между пробегом автомобилей от 30 до 40 тыс.км и их стоимостью. Аналог 2014 г.в. стоит 75 т.р. и имеет пробег 35 тыс.км. Найти стоимость авто того же года с пробегом 34 тыс.км.</t>
  </si>
  <si>
    <t>Пробег аналога</t>
  </si>
  <si>
    <t>Пробег объекта</t>
  </si>
  <si>
    <t>5.2.2.13. Оценщик на рынке нашёл два аналога объекта оборудования, которые были приобретены в кредит. Один аналог был прокредитован по льготной ставке в 10% на срок 5 лет. Второй аналог был прокредитован по среднерыночным ставкам по кредитам по 13% тоже сроком на 5 лет. Необходимо определить поправку на разницу в финансировании.</t>
  </si>
  <si>
    <t>Количество лет</t>
  </si>
  <si>
    <t>Годовые проценты</t>
  </si>
  <si>
    <t>Ежегодный платёж в погашение</t>
  </si>
  <si>
    <t>Что можно купить при этих платежах?</t>
  </si>
  <si>
    <t>Платёж</t>
  </si>
  <si>
    <t>Какой кредит дадут?</t>
  </si>
  <si>
    <t>Рыночный</t>
  </si>
  <si>
    <t>Льготный</t>
  </si>
  <si>
    <t>Приравниваем платежи</t>
  </si>
  <si>
    <t>Длина пути</t>
  </si>
  <si>
    <t>Стоимость 1 п.м. пути</t>
  </si>
  <si>
    <t>Стоимость фундамента в 2007</t>
  </si>
  <si>
    <t>Монтаж и пуско-наладка в 2007</t>
  </si>
  <si>
    <t>Дата выпуска</t>
  </si>
  <si>
    <t>январь 2007</t>
  </si>
  <si>
    <t>Дата продажи</t>
  </si>
  <si>
    <t>февраль 2007</t>
  </si>
  <si>
    <t>декабрь 2016</t>
  </si>
  <si>
    <t>январь 2016</t>
  </si>
  <si>
    <t>5.2.2.16. Станок А стоит 50 000 руб. Станок с подающим конвейером (единая модель для всех станков) стоит на 10% дороже, чем станок А. Цена станка А на 20% дешевле станка Б. Определите стоимость станка Б с подающим конвейером.</t>
  </si>
  <si>
    <t>Стоимость станка А</t>
  </si>
  <si>
    <t>Станок с конвейером дороже на</t>
  </si>
  <si>
    <t>Станок А дешевле станка Б на</t>
  </si>
  <si>
    <t>Стоимость станка с конвейером</t>
  </si>
  <si>
    <t>Стоимость конвейера</t>
  </si>
  <si>
    <t>Корр. Коэфф.</t>
  </si>
  <si>
    <t>Станок А</t>
  </si>
  <si>
    <t>Станок Б</t>
  </si>
  <si>
    <t>Станок А на 20% дешевле Станка Б</t>
  </si>
  <si>
    <t>Объект оценки в данном случае - Станок Б, а аналог - Станок А</t>
  </si>
  <si>
    <t>Стоимость станка Б без конвейера</t>
  </si>
  <si>
    <t>Стоимость станка Б с конвейером</t>
  </si>
  <si>
    <t>Стоимость контракта, с НДС</t>
  </si>
  <si>
    <t>Без монтажа и пуско-наладки, с НДС</t>
  </si>
  <si>
    <t>Без монтажа и пуско-наладки, без НДС</t>
  </si>
  <si>
    <t>Стоимость на условиях EXW</t>
  </si>
  <si>
    <t>5.2.2.18. 5 токарных станков марки 1К40 и 4 сверлильных станка марки 2С12 были проданы за 167 тыс. руб., а 3 токарных станка марки 1К40 и 6 сверлильных станков марки 2С12 были проданы за 183 тыс. руб. Определите стоимость 1 сверлильного станка марки 2С12.</t>
  </si>
  <si>
    <t>удовлетв.</t>
  </si>
  <si>
    <t>0,75</t>
  </si>
  <si>
    <t>0,8</t>
  </si>
  <si>
    <t>5.2.2.19. (4 балла). Определить рыночную стоимость несмонтированного емкостного оборудования по состоянию на июнь 2016 г. по приведенным аналогам. Характеристики оцениваемого объекта:
- 1990 года выпуска
- в удовлетворительном состоянии,
- из нержавеющей стали,
- массой 7 т,
- произведен в Европе.
Указанные аналоги считать равноценными. Аналоги демонтированы, продаются со склада.
Величиной прочих затрат в целях данной задачи пренебречь. Найденные предложения на рынке:</t>
  </si>
  <si>
    <t>Цена во Франции в 2004 году, евро</t>
  </si>
  <si>
    <t>Износ ОО</t>
  </si>
  <si>
    <t>Длина рельсов</t>
  </si>
  <si>
    <t>РС ОО</t>
  </si>
  <si>
    <t>Стоимость считаем от любого из аналогов</t>
  </si>
  <si>
    <t>5.2.2.23. Объект с износом 35% был продан на рынке за 100 000 руб. Определить износ в рублях.</t>
  </si>
  <si>
    <t>Износ в рублях</t>
  </si>
  <si>
    <t>Как разница между стоимостью нового и РС</t>
  </si>
  <si>
    <t>Стоимость нового умножаем на износ</t>
  </si>
  <si>
    <t>5.2.2.24. Автомобиль ГАЗ 3110, год выпуска 2003. Пробег 142000 км. Объем бака 90л, мощность 85 л/с и прочая техническая информация. Подобрать самый корректный аналог.</t>
  </si>
  <si>
    <t>ГАЗ 3110</t>
  </si>
  <si>
    <t>ГАЗ 3111</t>
  </si>
  <si>
    <t>Учет НДС</t>
  </si>
  <si>
    <t>с НДС</t>
  </si>
  <si>
    <t>без НДС</t>
  </si>
  <si>
    <t>5.2.2.26. Оценщик нашел два максимально близких объекта-аналога для расчета рыночной стоимости самосвала. Цена предложения аналогов: 1,5 и 1,6 млн.руб. Скидка на торг 5%. Определите рыночную стоимость самосвала, используя оба аналога.</t>
  </si>
  <si>
    <r>
      <t xml:space="preserve">5.2.2.27. Объект оценки – седельный тягач Mercedes Actros, 2010 год выпуска, пробег 495 045 км. Дата оценки 31.12.2016 г. Выбрать из таблицы наиболее подходящие аналоги и рассчитать рыночную стоимость объекта оценки </t>
    </r>
    <r>
      <rPr>
        <b/>
        <sz val="14"/>
        <color rgb="FFFF0000"/>
        <rFont val="Calibri"/>
        <family val="2"/>
        <charset val="204"/>
        <scheme val="minor"/>
      </rPr>
      <t>без НДС</t>
    </r>
    <r>
      <rPr>
        <b/>
        <sz val="14"/>
        <color theme="1"/>
        <rFont val="Calibri"/>
        <family val="2"/>
        <charset val="204"/>
        <scheme val="minor"/>
      </rPr>
      <t xml:space="preserve"> (НДС 18%). При различии значений пробегов менее 10% корректировка на пробег не вносится. Среднерыночная скидка на торг 10%.</t>
    </r>
  </si>
  <si>
    <t>Сравните с задачей 5.2.2.8</t>
  </si>
  <si>
    <r>
      <t xml:space="preserve">Цена, </t>
    </r>
    <r>
      <rPr>
        <b/>
        <sz val="14"/>
        <color rgb="FFFF0000"/>
        <rFont val="Calibri"/>
        <family val="2"/>
        <charset val="204"/>
        <scheme val="minor"/>
      </rPr>
      <t>с НДС</t>
    </r>
  </si>
  <si>
    <r>
      <t xml:space="preserve">Дата </t>
    </r>
    <r>
      <rPr>
        <b/>
        <sz val="14"/>
        <color rgb="FFFF0000"/>
        <rFont val="Calibri"/>
        <family val="2"/>
        <charset val="204"/>
        <scheme val="minor"/>
      </rPr>
      <t>сделки</t>
    </r>
  </si>
  <si>
    <t>Цена, без НДС</t>
  </si>
  <si>
    <t>Скидку на торг не применяем!!!</t>
  </si>
  <si>
    <t>Внимательно читаем условие задачи!!!</t>
  </si>
  <si>
    <t>Износ ОА</t>
  </si>
  <si>
    <t>Коэффициентная корректировка</t>
  </si>
  <si>
    <r>
      <t xml:space="preserve">5.2.2.29. Станок с износом 50% стоит 120000, объект оценки - с износом 70%. Какую надо внести </t>
    </r>
    <r>
      <rPr>
        <b/>
        <sz val="14"/>
        <color rgb="FFFF0000"/>
        <rFont val="Calibri"/>
        <family val="2"/>
        <charset val="204"/>
        <scheme val="minor"/>
      </rPr>
      <t>коэффициентную</t>
    </r>
    <r>
      <rPr>
        <b/>
        <sz val="14"/>
        <color theme="1"/>
        <rFont val="Calibri"/>
        <family val="2"/>
        <charset val="204"/>
        <scheme val="minor"/>
      </rPr>
      <t xml:space="preserve"> корректировку?</t>
    </r>
  </si>
  <si>
    <t>5.2.2.30. Оценщик подобрал два наиболее близких объекта-аналога производственной линии стоимостью 2 млн. руб. и 2,2 млн.руб., которые недавно были отремонтированы. Определить рыночную стоимость объекта оценки (производственной линии), которая требует проведения ремонта стоимостью 300 тыс.руб. Скидка на торг 5%.</t>
  </si>
  <si>
    <t>Корректировка на ремонт</t>
  </si>
  <si>
    <t>Станок 350</t>
  </si>
  <si>
    <t>Станок 500</t>
  </si>
  <si>
    <t>Станок 500 на 30% дороже Станка 350</t>
  </si>
  <si>
    <t>(Корр. Коэфф - 1)</t>
  </si>
  <si>
    <t>ПВД</t>
  </si>
  <si>
    <t>Загрузка</t>
  </si>
  <si>
    <t>ОР от ПВД</t>
  </si>
  <si>
    <t>Норма возврата</t>
  </si>
  <si>
    <t>ДВД</t>
  </si>
  <si>
    <t>ЧОД</t>
  </si>
  <si>
    <t>Недозагрузка</t>
  </si>
  <si>
    <t>ОР</t>
  </si>
  <si>
    <t>Норма возврата капитала</t>
  </si>
  <si>
    <r>
      <t xml:space="preserve">5.2.3.2. Определите рыночную стоимость производственной линии методом прямой капитализации.
Оцениваемая линия способа приносить годовой потенциальный валовой доход в размере 2 000 000 руб. </t>
    </r>
    <r>
      <rPr>
        <b/>
        <sz val="14"/>
        <color rgb="FFFF0000"/>
        <rFont val="Calibri"/>
        <family val="2"/>
        <charset val="204"/>
        <scheme val="minor"/>
      </rPr>
      <t>Недо</t>
    </r>
    <r>
      <rPr>
        <b/>
        <sz val="14"/>
        <color theme="1"/>
        <rFont val="Calibri"/>
        <family val="2"/>
        <charset val="204"/>
        <scheme val="minor"/>
      </rPr>
      <t>загрузка составляет 5%. Эксплуатационные и прочие расходы при существующей загрузке составляют 1 200 000руб. Ставка дисконтирования -14%, норма возврата капитала – 8%.</t>
    </r>
  </si>
  <si>
    <t>Постоянные расходы от ПВД</t>
  </si>
  <si>
    <t>Переменные расходы</t>
  </si>
  <si>
    <t>Терминальная стоимость = ДВД</t>
  </si>
  <si>
    <t>Стоимость линии</t>
  </si>
  <si>
    <t>Если в условии не будет информации о продаже к концу срока жизни - это будет ответом</t>
  </si>
  <si>
    <t>Стоимость продажи к концу срока</t>
  </si>
  <si>
    <r>
      <t xml:space="preserve">Приведенная стоимость по ставке </t>
    </r>
    <r>
      <rPr>
        <i/>
        <sz val="14"/>
        <color rgb="FFFF0000"/>
        <rFont val="Calibri"/>
        <family val="2"/>
        <charset val="204"/>
        <scheme val="minor"/>
      </rPr>
      <t>дисконтирования</t>
    </r>
  </si>
  <si>
    <t>Информации о продаже к концу срока жизни может и не быть!</t>
  </si>
  <si>
    <t>Но именно такое решение засчитывали на экзамене. Возможно, для упрощения.</t>
  </si>
  <si>
    <t>5.2.3.5. Определить ставку дисконтирования, если известно, что ставка капитализации составляет 30%, а норма возврата капитала 0,12.</t>
  </si>
  <si>
    <t>В условии дана в долях</t>
  </si>
  <si>
    <t>Расходы</t>
  </si>
  <si>
    <t>Поток</t>
  </si>
  <si>
    <t>Дискотнирование на середину периодов</t>
  </si>
  <si>
    <t>Количество деталей в год</t>
  </si>
  <si>
    <t>Цена одной детали</t>
  </si>
  <si>
    <t>Переменные расходы на деталь</t>
  </si>
  <si>
    <t>Выручка</t>
  </si>
  <si>
    <t>Переменные расходы всего</t>
  </si>
  <si>
    <t>Постоянные расходы всего</t>
  </si>
  <si>
    <t>Денежный поток</t>
  </si>
  <si>
    <t>30 кг/час. Выпекать всё равно больше не смогут.</t>
  </si>
  <si>
    <t>5.2.3.10. Оборудование приносит чистый операционный доход в 2 500 руб. в конце каждого периода. Специалисты определили, что оставшийся срок жизни оборудования составляет 16 лет, к концу которого оборудование полностью обесценивается. Норма доходности данного оборудования 15%. Предусмотрен линейный возврат капитала. Определите стоимость оборудования.</t>
  </si>
  <si>
    <t>Утилизация</t>
  </si>
  <si>
    <t>ОР по ПВД</t>
  </si>
  <si>
    <t>Ставка капитализации = Ставка дисконтирования + Норма возврата</t>
  </si>
  <si>
    <t>Ставка дисконтирования = Ставка капитализации - Норма возврата</t>
  </si>
  <si>
    <t>Норма возврата = 1/3</t>
  </si>
  <si>
    <t>Ставка капитализации =</t>
  </si>
  <si>
    <t>Нормативный срок жизни</t>
  </si>
  <si>
    <t>Доходность</t>
  </si>
  <si>
    <t>Безрисковая</t>
  </si>
  <si>
    <t>Оставшийся срок жизни</t>
  </si>
  <si>
    <r>
      <t xml:space="preserve">5.2.3.14. (4 балла). Оборудование может приносить </t>
    </r>
    <r>
      <rPr>
        <b/>
        <sz val="14"/>
        <color rgb="FFFF0000"/>
        <rFont val="Calibri"/>
        <family val="2"/>
        <charset val="204"/>
        <scheme val="minor"/>
      </rPr>
      <t>чистый</t>
    </r>
    <r>
      <rPr>
        <b/>
        <sz val="14"/>
        <color theme="1"/>
        <rFont val="Calibri"/>
        <family val="2"/>
        <charset val="204"/>
        <scheme val="minor"/>
      </rPr>
      <t xml:space="preserve"> операционный доход 200 000 руб. Операционные расходы 20 000 руб. На дату оценки оборудование находится в нерабочем состоянии (требует ремонта). Стоимость ремонта составит 200 тыс. руб. и будет оплачиваться равномерно на протяжении года. После ремонта оборудование будет работать еще 3 года. Ставка дисконтирования 20%, дисконтирование на середину года. Рассчитать стоимость</t>
    </r>
  </si>
  <si>
    <t>Рыночная стоимость линии</t>
  </si>
  <si>
    <t>Переменные на единицу продукции</t>
  </si>
  <si>
    <r>
      <t xml:space="preserve">Отпускная цена, </t>
    </r>
    <r>
      <rPr>
        <sz val="14"/>
        <color rgb="FFFF0000"/>
        <rFont val="Calibri"/>
        <family val="2"/>
        <charset val="204"/>
        <scheme val="minor"/>
      </rPr>
      <t>с НДС</t>
    </r>
  </si>
  <si>
    <t>Безрисковая ставка</t>
  </si>
  <si>
    <t>Норма возврата по Хоскольду</t>
  </si>
  <si>
    <t>От безрисковой ставки</t>
  </si>
  <si>
    <t>ЧОД = Продукция - Переменные - Постоянные</t>
  </si>
  <si>
    <t>Х*Продукция - Х*Переменные = ЧОД + Постоянные</t>
  </si>
  <si>
    <t>Х = (ЧОД + Постоянные) / (Продукция - Переменные)</t>
  </si>
  <si>
    <t>ЧОД + Постоянные</t>
  </si>
  <si>
    <t>Продукция - Переменные</t>
  </si>
  <si>
    <t>Х (количество выпускаемой продукции)</t>
  </si>
  <si>
    <t>ЧОД = Х*Продукция - Х*Переменные - Постоянные</t>
  </si>
  <si>
    <t>Количество продукции</t>
  </si>
  <si>
    <t>Постоянные = Продукция - Переменные - ЧОД</t>
  </si>
  <si>
    <t>Продукция</t>
  </si>
  <si>
    <t>Переменные</t>
  </si>
  <si>
    <t>От ставки дисконтирования</t>
  </si>
  <si>
    <t>Норма возврата по Инвуду</t>
  </si>
  <si>
    <r>
      <t xml:space="preserve">Единица продукции, </t>
    </r>
    <r>
      <rPr>
        <sz val="14"/>
        <color rgb="FFFF0000"/>
        <rFont val="Calibri"/>
        <family val="2"/>
        <charset val="204"/>
        <scheme val="minor"/>
      </rPr>
      <t>с НДС</t>
    </r>
  </si>
  <si>
    <t>Единица продукции, без НДС</t>
  </si>
  <si>
    <t>Постоянные затраты</t>
  </si>
  <si>
    <t>Стоимость единицы продукции</t>
  </si>
  <si>
    <t>Ежемесячный объем продукции</t>
  </si>
  <si>
    <t>Переменные затраты на единицу</t>
  </si>
  <si>
    <t>Переменные затраты</t>
  </si>
  <si>
    <t>Капремонт</t>
  </si>
  <si>
    <r>
      <t xml:space="preserve">Количество </t>
    </r>
    <r>
      <rPr>
        <sz val="14"/>
        <color rgb="FFFF0000"/>
        <rFont val="Calibri"/>
        <family val="2"/>
        <charset val="204"/>
        <scheme val="minor"/>
      </rPr>
      <t>рабочих</t>
    </r>
    <r>
      <rPr>
        <sz val="14"/>
        <color theme="1"/>
        <rFont val="Calibri"/>
        <family val="2"/>
        <charset val="204"/>
        <scheme val="minor"/>
      </rPr>
      <t xml:space="preserve"> месяцев в году</t>
    </r>
  </si>
  <si>
    <t>Годовой объем продукции</t>
  </si>
  <si>
    <t>Индекс</t>
  </si>
  <si>
    <t>Индексированная стоимость продукции</t>
  </si>
  <si>
    <t>Индексированные затраты на единицу</t>
  </si>
  <si>
    <r>
      <rPr>
        <sz val="14"/>
        <color rgb="FFFF0000"/>
        <rFont val="Calibri"/>
        <family val="2"/>
        <charset val="204"/>
        <scheme val="minor"/>
      </rPr>
      <t>Ежегодные</t>
    </r>
    <r>
      <rPr>
        <sz val="14"/>
        <color theme="1"/>
        <rFont val="Calibri"/>
        <family val="2"/>
        <charset val="204"/>
        <scheme val="minor"/>
      </rPr>
      <t xml:space="preserve"> постоянные затраты</t>
    </r>
  </si>
  <si>
    <t>Индексы на капремонт</t>
  </si>
  <si>
    <t>Первый год в задаче не индексируется</t>
  </si>
  <si>
    <t>Индексы изменения цен на продукцию</t>
  </si>
  <si>
    <t>Индексы изменения затрат</t>
  </si>
  <si>
    <t>Индексы изменения затрат на капремонт</t>
  </si>
  <si>
    <t xml:space="preserve">5.2.3.19. Рассчитать норму возврата по методу Инвуда. Хронологический возраст 8 лет. Эффективный возраст 6 лет. Нормативный срок 15 лет. Полный срок экономической жизни 12 лет. Доходность инвестиций 15%. Безрисковая ставка 9% </t>
  </si>
  <si>
    <t>Полный срок экономической жизни, лет</t>
  </si>
  <si>
    <t>Оставшийся срок экономической жизни</t>
  </si>
  <si>
    <t>Оставшийся срок экономической жизни = Полный срок экономической жизни - Эффективный возраст</t>
  </si>
  <si>
    <t>От доходности</t>
  </si>
  <si>
    <t xml:space="preserve">5.2.3.20. Рассчитать норму возврата по методу Хоскольда. Хронологический возраст 8 лет. Эффективный возраст 6 лет. Нормативный срок 15 лет. Полный срок экономической жизни 12 лет. Доходность инвестиций 15%. Безрисковая ставка 9% </t>
  </si>
  <si>
    <t>По безрисковой ставке</t>
  </si>
  <si>
    <t>5.2.3.22. (4 балла). Рыночная стоимость линии 400 000 руб. Количество производимой продукции 880 штук. Выручка от реализации за штуку 2850 руб., затраты на производство 1 шт. 1650 руб., ставка дисконтирования 15%, безрисковая 9%, эффективный возраст 9 лет, нормативный срок службы 12 лет. Норма возврата капитала по методу Хоскольда. Согласно проведенным исследованиям, линия еще может проработать 3 года. По истечению этого срока линия будет сдана на утилизацию за 600 000 руб. в ценах на дату утилизации. Определить сумму постоянных затрат в руб. Дисконтирование на период функционирования линии производить по состоянию на середину периода. Ежегодный прирост цен составляет 2%.</t>
  </si>
  <si>
    <t>Будущая стоимость утилизации</t>
  </si>
  <si>
    <t>Выручка за штуку</t>
  </si>
  <si>
    <t>Выручка в год</t>
  </si>
  <si>
    <t>Затраты на 1 штуку</t>
  </si>
  <si>
    <t>Переменный затраты, в год</t>
  </si>
  <si>
    <t>Постоянные затраты, в год</t>
  </si>
  <si>
    <t>Текущая стоимость постоянных затрат</t>
  </si>
  <si>
    <t>Текущая стоимость утилизации</t>
  </si>
  <si>
    <t>Рыночная стоимость линии (без утиля)</t>
  </si>
  <si>
    <t>Темпы роста</t>
  </si>
  <si>
    <t>Ставка капитализации - темпы роста</t>
  </si>
  <si>
    <t>Текущая рыночная стоимость</t>
  </si>
  <si>
    <t xml:space="preserve">ЧОД * (1 + g) </t>
  </si>
  <si>
    <t>Выручка за единицу продукции</t>
  </si>
  <si>
    <t>С округлением</t>
  </si>
  <si>
    <t>чтобы получить рыночную стоимость 400 000р.</t>
  </si>
  <si>
    <t>Модель Гордона</t>
  </si>
  <si>
    <t>Берем из условия задачи</t>
  </si>
  <si>
    <t>Выручка за единицу</t>
  </si>
  <si>
    <t>Затраты на единицу</t>
  </si>
  <si>
    <t>Норма возврата (по Рингу)</t>
  </si>
  <si>
    <t>Выручка, всего</t>
  </si>
  <si>
    <t>Переменные затраты, всего</t>
  </si>
  <si>
    <t>РС оборудования</t>
  </si>
  <si>
    <t>По первому году использовалась функция "Подбор параметра"</t>
  </si>
  <si>
    <t>Модель Гордона. С классической моделью расхождение чуть больше.</t>
  </si>
  <si>
    <t>Стоимость с учетом скидки</t>
  </si>
  <si>
    <t>Затраты на воспроизводство на 2017 год</t>
  </si>
  <si>
    <t>Договор поставки аналогичн. обор., р.</t>
  </si>
  <si>
    <t>Расчетная стоимость</t>
  </si>
  <si>
    <r>
      <t xml:space="preserve">5.2.1.60. Предприятие в 2010 году приобрело станок, не требующий монтажа, за 250 тыс. руб. В 2013 году его передали дочерней организации по остаточной стоимости 200 000 руб. Совокупный износ оборудования на дату оценки составляет 55%. Рассчитайте </t>
    </r>
    <r>
      <rPr>
        <b/>
        <sz val="14"/>
        <color rgb="FFFF0000"/>
        <rFont val="Calibri"/>
        <family val="2"/>
        <charset val="204"/>
        <scheme val="minor"/>
      </rPr>
      <t>затраты на воспроизводство</t>
    </r>
    <r>
      <rPr>
        <b/>
        <sz val="14"/>
        <color theme="1"/>
        <rFont val="Calibri"/>
        <family val="2"/>
        <charset val="204"/>
        <scheme val="minor"/>
      </rPr>
      <t xml:space="preserve"> по состоянию </t>
    </r>
    <r>
      <rPr>
        <b/>
        <sz val="14"/>
        <color rgb="FFFF0000"/>
        <rFont val="Calibri"/>
        <family val="2"/>
        <charset val="204"/>
        <scheme val="minor"/>
      </rPr>
      <t>на</t>
    </r>
    <r>
      <rPr>
        <b/>
        <sz val="14"/>
        <color theme="1"/>
        <rFont val="Calibri"/>
        <family val="2"/>
        <charset val="204"/>
        <scheme val="minor"/>
      </rPr>
      <t xml:space="preserve"> </t>
    </r>
    <r>
      <rPr>
        <b/>
        <sz val="14"/>
        <color rgb="FFFF0000"/>
        <rFont val="Calibri"/>
        <family val="2"/>
        <charset val="204"/>
        <scheme val="minor"/>
      </rPr>
      <t>2016</t>
    </r>
    <r>
      <rPr>
        <b/>
        <sz val="14"/>
        <color theme="1"/>
        <rFont val="Calibri"/>
        <family val="2"/>
        <charset val="204"/>
        <scheme val="minor"/>
      </rPr>
      <t xml:space="preserve"> г. Индексы изменения стоимости оборудования к 200х году:
2009 - 1,052; 2010 - 1,083; 2011 - 1,097; 2012 - 1,120; 2013 - 1,144; 2014 - 1,159; 2015 - 1,184; 2016 - 1,211; 2017 - 1,219</t>
    </r>
  </si>
  <si>
    <t>Расчетный износ</t>
  </si>
  <si>
    <t>Лишние данные, поскольку дана сразу ставка капитализации, которая уже включает норму возврата.</t>
  </si>
  <si>
    <t>Решение будет зависеть от того, как в условии на экзамене будет прописана импортная пошлина (от чего платится).</t>
  </si>
  <si>
    <t>Экономическое устаревание предприятия не оказывает влияние на стоимость автомобиля</t>
  </si>
  <si>
    <t>Износ машины * Вес без 3-х агрегатов + Износ заменённых 3-х агрегатов * Вес 3-х агрегатов</t>
  </si>
  <si>
    <t>РАЗНДАТ(Дата1;Дата2;"m") выводит кол-во полных месяцев. В списке функций Excel её может не быть</t>
  </si>
  <si>
    <t>Корректирующий коэффициент</t>
  </si>
  <si>
    <t>Неизнашиваемая часть не изнашивается. Износ = 0. В расчётах не участвует.</t>
  </si>
  <si>
    <t>Делим на курс по состоянию на дату постановки на баланс</t>
  </si>
  <si>
    <t>Умножаем на индекс</t>
  </si>
  <si>
    <t>(ОО/ОА)^b</t>
  </si>
  <si>
    <t>РАЗНДАТ(Дата1;Дата2;"y")</t>
  </si>
  <si>
    <t>Дата1 и Дата2 - начальное и конечное значения диапазона дат</t>
  </si>
  <si>
    <t>"m" - выводит количество полных месяцев между двумя датами</t>
  </si>
  <si>
    <t>"d" - выводит количество дней между двумя датами</t>
  </si>
  <si>
    <t>"y" - выводит количество полных лет между двумя датами</t>
  </si>
  <si>
    <t>Индекс удорожания считается от даты приобретения, а износ от даты начала эксплуатации</t>
  </si>
  <si>
    <t>Красным отмечены факторы отбраковки аналогов</t>
  </si>
  <si>
    <r>
      <t xml:space="preserve">Решение 1 </t>
    </r>
    <r>
      <rPr>
        <i/>
        <sz val="14"/>
        <color theme="1"/>
        <rFont val="Calibri"/>
        <family val="2"/>
        <charset val="204"/>
        <scheme val="minor"/>
      </rPr>
      <t>- принимаем за единицу цену ОО, и определяем цену ОА при таком же платеже</t>
    </r>
  </si>
  <si>
    <t>Можно поставить любую цену. Итог не изменится. Это деньги.</t>
  </si>
  <si>
    <r>
      <t xml:space="preserve">Повышающая корректировка </t>
    </r>
    <r>
      <rPr>
        <i/>
        <sz val="14"/>
        <color rgb="FFFF0000"/>
        <rFont val="Calibri"/>
        <family val="2"/>
        <charset val="204"/>
        <scheme val="minor"/>
      </rPr>
      <t>при нахождении цены ОА</t>
    </r>
    <r>
      <rPr>
        <i/>
        <sz val="14"/>
        <rFont val="Calibri"/>
        <family val="2"/>
        <charset val="204"/>
        <scheme val="minor"/>
      </rPr>
      <t>. При меньших % больше кредит</t>
    </r>
  </si>
  <si>
    <r>
      <t xml:space="preserve">Решение 2 </t>
    </r>
    <r>
      <rPr>
        <i/>
        <sz val="14"/>
        <color theme="1"/>
        <rFont val="Calibri"/>
        <family val="2"/>
        <charset val="204"/>
        <scheme val="minor"/>
      </rPr>
      <t>- принимаем за единицу цену ОА, и определяем цену ОО при таком же платеже</t>
    </r>
  </si>
  <si>
    <r>
      <t xml:space="preserve">Решение 3 </t>
    </r>
    <r>
      <rPr>
        <i/>
        <sz val="14"/>
        <color theme="1"/>
        <rFont val="Calibri"/>
        <family val="2"/>
        <charset val="204"/>
        <scheme val="minor"/>
      </rPr>
      <t>- имея одинаковые платежи в деньгах, какую недвижимость можем себе позволить в кредит под разные проценты?</t>
    </r>
  </si>
  <si>
    <t>Можно поставить любое значение, одинаковое у ОО и ОА. Это деньги.</t>
  </si>
  <si>
    <t>Рассчитываем из подходящих аналогов №1, №4, и №5</t>
  </si>
  <si>
    <t>Масса одинаковая, корректировки на массу нет</t>
  </si>
  <si>
    <t>Если длина рельсов аналога больше, разница получится меньше нуля, и корректировка будет понижающая</t>
  </si>
  <si>
    <t>Задача очень спорная. В случае, когда к концу срока использования ещё остаётся какая-то стоимость, логичнее использовать:  R = Y ± ∆V*SFF</t>
  </si>
  <si>
    <r>
      <t>Отпускная цена, без НДС (</t>
    </r>
    <r>
      <rPr>
        <sz val="14"/>
        <color rgb="FFFF0000"/>
        <rFont val="Calibri"/>
        <family val="2"/>
        <charset val="204"/>
        <scheme val="minor"/>
      </rPr>
      <t>Продукция</t>
    </r>
    <r>
      <rPr>
        <sz val="14"/>
        <color theme="1"/>
        <rFont val="Calibri"/>
        <family val="2"/>
        <charset val="204"/>
        <scheme val="minor"/>
      </rPr>
      <t>)</t>
    </r>
  </si>
  <si>
    <r>
      <rPr>
        <sz val="14"/>
        <color rgb="FFFF0000"/>
        <rFont val="Calibri"/>
        <family val="2"/>
        <charset val="204"/>
        <scheme val="minor"/>
      </rPr>
      <t>Переменные</t>
    </r>
    <r>
      <rPr>
        <sz val="14"/>
        <color theme="1"/>
        <rFont val="Calibri"/>
        <family val="2"/>
        <charset val="204"/>
        <scheme val="minor"/>
      </rPr>
      <t xml:space="preserve"> на единицу продукции</t>
    </r>
  </si>
  <si>
    <r>
      <rPr>
        <sz val="14"/>
        <color rgb="FFFF0000"/>
        <rFont val="Calibri"/>
        <family val="2"/>
        <charset val="204"/>
        <scheme val="minor"/>
      </rPr>
      <t>Постоянные</t>
    </r>
    <r>
      <rPr>
        <sz val="14"/>
        <color theme="1"/>
        <rFont val="Calibri"/>
        <family val="2"/>
        <charset val="204"/>
        <scheme val="minor"/>
      </rPr>
      <t xml:space="preserve"> расходы в год</t>
    </r>
  </si>
  <si>
    <t>Цена покупки = Цена нового * (1-Износ) =&gt; Цена нового = Цена покупки / (1-Износ)</t>
  </si>
  <si>
    <t>РС = ЧОД * (1 + g) / (K - g)</t>
  </si>
  <si>
    <t>ЧОД * (1 + g) = РС * (K - g)</t>
  </si>
  <si>
    <t>Без учета доли</t>
  </si>
  <si>
    <t>Затраты на приобретение в 2006 году</t>
  </si>
  <si>
    <t>Х*(Продукция - Переменные) = ЧОД + Постоянные</t>
  </si>
  <si>
    <r>
      <t xml:space="preserve">5.2.1.13. Новый установленный котел стоит 2 млн. руб. В данный момент он способен работать только на 85% от проектной мощности по причине некорректного подбора горелок, которые не соответствуют давлению подводимого к предприятию газа. Это </t>
    </r>
    <r>
      <rPr>
        <b/>
        <sz val="14"/>
        <color rgb="FFFF0000"/>
        <rFont val="Calibri"/>
        <family val="2"/>
        <charset val="204"/>
        <scheme val="minor"/>
      </rPr>
      <t>не влияет</t>
    </r>
    <r>
      <rPr>
        <b/>
        <sz val="14"/>
        <color theme="1"/>
        <rFont val="Calibri"/>
        <family val="2"/>
        <charset val="204"/>
        <scheme val="minor"/>
      </rPr>
      <t xml:space="preserve"> на работу всего предприятия. Модернизация горелок для использования полного давления газа стоит 200 тыс. руб. Физический износ котла составляет 30%. Анализ показал, что наилучшим и наиболее эффективным использованием является текущее использование всех активов предприятия. Чему равна рыночная стоимость </t>
    </r>
    <r>
      <rPr>
        <b/>
        <sz val="14"/>
        <color rgb="FFFF0000"/>
        <rFont val="Calibri"/>
        <family val="2"/>
        <charset val="204"/>
        <scheme val="minor"/>
      </rPr>
      <t>установленного</t>
    </r>
    <r>
      <rPr>
        <b/>
        <sz val="14"/>
        <color theme="1"/>
        <rFont val="Calibri"/>
        <family val="2"/>
        <charset val="204"/>
        <scheme val="minor"/>
      </rPr>
      <t xml:space="preserve"> котла в рамках затратного подхода? Коэффициент торможения по параметру "Мощность" равен 1.</t>
    </r>
  </si>
  <si>
    <r>
      <t xml:space="preserve">5.2.1.9. Оборудование </t>
    </r>
    <r>
      <rPr>
        <b/>
        <sz val="14"/>
        <color rgb="FFFF0000"/>
        <rFont val="Calibri"/>
        <family val="2"/>
        <charset val="204"/>
        <scheme val="minor"/>
      </rPr>
      <t>произведено в России</t>
    </r>
    <r>
      <rPr>
        <b/>
        <sz val="14"/>
        <color theme="1"/>
        <rFont val="Calibri"/>
        <family val="2"/>
        <charset val="204"/>
        <scheme val="minor"/>
      </rPr>
      <t xml:space="preserve"> и вывезено за границу. Там оно стоит 140 000 долларов США с учетом вывозной пошлины. Потом его опять ввезли в Россию. Вывозная пошлина 18%, ввозная 12%. НДС не облагается. Какова стоимость в условиях России.</t>
    </r>
  </si>
  <si>
    <r>
      <t xml:space="preserve">5.2.1.4. (4 балла). Необходимо определить рыночную стоимость </t>
    </r>
    <r>
      <rPr>
        <b/>
        <sz val="14"/>
        <color rgb="FFFF0000"/>
        <rFont val="Calibri"/>
        <family val="2"/>
        <charset val="204"/>
        <scheme val="minor"/>
      </rPr>
      <t>четырех</t>
    </r>
    <r>
      <rPr>
        <b/>
        <sz val="14"/>
        <color theme="1"/>
        <rFont val="Calibri"/>
        <family val="2"/>
        <charset val="204"/>
        <scheme val="minor"/>
      </rPr>
      <t xml:space="preserve">двигательного самолета. Исходные данные для оценки:
- стоимость аналога составляет 25 млн. руб.;
- скидка на торг составляет 10%;
- аналог имеет наработку двигателей равную </t>
    </r>
    <r>
      <rPr>
        <b/>
        <sz val="14"/>
        <color rgb="FFFF0000"/>
        <rFont val="Calibri"/>
        <family val="2"/>
        <charset val="204"/>
        <scheme val="minor"/>
      </rPr>
      <t>половине</t>
    </r>
    <r>
      <rPr>
        <b/>
        <sz val="14"/>
        <color theme="1"/>
        <rFont val="Calibri"/>
        <family val="2"/>
        <charset val="204"/>
        <scheme val="minor"/>
      </rPr>
      <t xml:space="preserve"> требуемых межремонтных ресурсов;
- двигатели объекта оценки имеют налет 14 000 часов;
- межремонтный налет часов до капитального ремонта составляет 18 000 часов;
- стоимость ремонта двигателя – 2,5 млн. руб.;
- по остальным характеристикам и наработке ресурсов объект оценки и аналог идентичны.</t>
    </r>
  </si>
  <si>
    <r>
      <t xml:space="preserve">5.2.1.2. Затраты на воспроизводство промышленного конвейера составляют 5 000 000 рублей без НДС. Рассчитайте </t>
    </r>
    <r>
      <rPr>
        <b/>
        <sz val="14"/>
        <color rgb="FFFF0000"/>
        <rFont val="Calibri"/>
        <family val="2"/>
        <charset val="204"/>
        <scheme val="minor"/>
      </rPr>
      <t>накопленный износ</t>
    </r>
    <r>
      <rPr>
        <b/>
        <sz val="14"/>
        <color theme="1"/>
        <rFont val="Calibri"/>
        <family val="2"/>
        <charset val="204"/>
        <scheme val="minor"/>
      </rPr>
      <t xml:space="preserve"> конвейера в рублях, если известно, что его физический износ - 20%, функциональное устаревание - 10%, экономическое устаревание - 30%. Совокупный износ определяется по мультипликативной модели.</t>
    </r>
  </si>
  <si>
    <r>
      <t>1-(</t>
    </r>
    <r>
      <rPr>
        <i/>
        <sz val="14"/>
        <color rgb="FFFF0000"/>
        <rFont val="Calibri"/>
        <family val="2"/>
        <charset val="204"/>
        <scheme val="minor"/>
      </rPr>
      <t>ОО/ОА</t>
    </r>
    <r>
      <rPr>
        <i/>
        <sz val="14"/>
        <color theme="1"/>
        <rFont val="Calibri"/>
        <family val="2"/>
        <charset val="204"/>
        <scheme val="minor"/>
      </rPr>
      <t>)^b</t>
    </r>
  </si>
  <si>
    <r>
      <t xml:space="preserve">5.2.1.20. (4 балла). Закупили оборудование в 2012 г. за 14 000 $ со склада на условиях EXW (франко завод). Заключен договор поставки, который включает в себя расходы на таможенную пошлину и </t>
    </r>
    <r>
      <rPr>
        <b/>
        <sz val="14"/>
        <color rgb="FFFF0000"/>
        <rFont val="Calibri"/>
        <family val="2"/>
        <charset val="204"/>
        <scheme val="minor"/>
      </rPr>
      <t>ускоренное</t>
    </r>
    <r>
      <rPr>
        <b/>
        <sz val="14"/>
        <color theme="1"/>
        <rFont val="Calibri"/>
        <family val="2"/>
        <charset val="204"/>
        <scheme val="minor"/>
      </rPr>
      <t xml:space="preserve"> оформление 10 и 5% соответственно. Курс на дату приобретения 30 руб./$. Коэффициент роста цен в США в $ 0,95. Курс дату оценки 60 руб./$. Покупатель параллельно заключил договор поставки аналогичного оборудования за 100 000 руб. Цена этого договора не изменилась на дату оценки. Найти рыночную стоимость.</t>
    </r>
  </si>
  <si>
    <r>
      <t xml:space="preserve">5.2.1.23. (4 балла). Предприятием в 2007 году поставлено на баланс оборудование, произведенное в Германии. Первоначальная балансовая стоимость 5 000 000 руб. Затраты на монтаж осуществлены российской компанией и составляют 30% </t>
    </r>
    <r>
      <rPr>
        <b/>
        <sz val="14"/>
        <color rgb="FFFF0000"/>
        <rFont val="Calibri"/>
        <family val="2"/>
        <charset val="204"/>
        <scheme val="minor"/>
      </rPr>
      <t>от стоимости оборудования</t>
    </r>
    <r>
      <rPr>
        <b/>
        <sz val="14"/>
        <color theme="1"/>
        <rFont val="Calibri"/>
        <family val="2"/>
        <charset val="204"/>
        <scheme val="minor"/>
      </rPr>
      <t>. Рассчитать стоимость затрат на воспроизводство на 2010 г., если стоимость СМР в России за это время выросла на 20%. Курс Евро на 2007 год - 32 руб., на 2010 год - 72 руб. Рост цен на аналогичное оборудование в Еврозоне - 1,3 за указанный период.</t>
    </r>
  </si>
  <si>
    <r>
      <t xml:space="preserve">5.2.1.24. Оборудование было поставлено на баланс по первоначальной стоимости 5 000 000 руб. При этом известно, что стоимость пуско-наладочных работ, монтажа и транспортировки составила 30 процентов </t>
    </r>
    <r>
      <rPr>
        <b/>
        <sz val="14"/>
        <color rgb="FFFF0000"/>
        <rFont val="Calibri"/>
        <family val="2"/>
        <charset val="204"/>
        <scheme val="minor"/>
      </rPr>
      <t>от стоимости приобретения</t>
    </r>
    <r>
      <rPr>
        <b/>
        <sz val="14"/>
        <color theme="1"/>
        <rFont val="Calibri"/>
        <family val="2"/>
        <charset val="204"/>
        <scheme val="minor"/>
      </rPr>
      <t>. Нужно определить рыночную стоимость, если известно, что индекс роста цен на СМР составил 20 %, индекс роста цен на оборудование составил 10%. Округлить до тысяч рублей.</t>
    </r>
  </si>
  <si>
    <r>
      <t xml:space="preserve">5.2.1.25. Даны два аналога. А1: цена (нового без монтажа) 100, параметр 10. А2: цена (нового без монтажа) 160, параметр 20. Параметр объекта оценки 15. </t>
    </r>
    <r>
      <rPr>
        <b/>
        <sz val="14"/>
        <color rgb="FFFF0000"/>
        <rFont val="Calibri"/>
        <family val="2"/>
        <charset val="204"/>
        <scheme val="minor"/>
      </rPr>
      <t>Срок жизни</t>
    </r>
    <r>
      <rPr>
        <b/>
        <sz val="14"/>
        <color theme="1"/>
        <rFont val="Calibri"/>
        <family val="2"/>
        <charset val="204"/>
        <scheme val="minor"/>
      </rPr>
      <t xml:space="preserve"> 25 лет, хронологический 12 лет, </t>
    </r>
    <r>
      <rPr>
        <b/>
        <sz val="14"/>
        <color rgb="FFFF0000"/>
        <rFont val="Calibri"/>
        <family val="2"/>
        <charset val="204"/>
        <scheme val="minor"/>
      </rPr>
      <t>остаточный срок жизни</t>
    </r>
    <r>
      <rPr>
        <b/>
        <sz val="14"/>
        <color theme="1"/>
        <rFont val="Calibri"/>
        <family val="2"/>
        <charset val="204"/>
        <scheme val="minor"/>
      </rPr>
      <t xml:space="preserve"> по данным экспертов 18 лет. Затраты на монтаж 40%. Экономический, функциональный износы не учитываются. Определить рыночную стоимость.</t>
    </r>
  </si>
  <si>
    <t>Меньше утилизационной стоимости</t>
  </si>
  <si>
    <t>5.2.1.32. Определить совокупный износ у объекта на дату оценки, если он был куплен новым за 125 000 ден.ед., а на дату оценки продан за 95 000 ден.ед.?</t>
  </si>
  <si>
    <t>Износ заменённых агрегатов стал 0% - они новые</t>
  </si>
  <si>
    <t>Отношение логарифмов = коэфф. торможения</t>
  </si>
  <si>
    <t>Ctrl + 1</t>
  </si>
  <si>
    <t>Формат ячейки</t>
  </si>
  <si>
    <t>Ctrl + Пробел</t>
  </si>
  <si>
    <t>Выделяет весь текущий столбец, в котором расположена активня ячейка</t>
  </si>
  <si>
    <t>Shift + Пробел</t>
  </si>
  <si>
    <t>Выделяет всю текущую строку, в которой расположена активная ячейка</t>
  </si>
  <si>
    <t>Ctrl + Num+</t>
  </si>
  <si>
    <t>Добавляет ячейки. Если выделена строка/столбец, то добавляет строку/столбец</t>
  </si>
  <si>
    <t>Ctrl + Num-</t>
  </si>
  <si>
    <t>Удаляет ячейки. Если выделена строка/столбец, то удаляет строку/столбец</t>
  </si>
  <si>
    <t>Ctrl + z</t>
  </si>
  <si>
    <t>Отменяет последнее действие</t>
  </si>
  <si>
    <t>Ctrl + Стрелка</t>
  </si>
  <si>
    <t>Перемещает курсор до последней заполненной ячейки в данной строке/столбце</t>
  </si>
  <si>
    <t>Ctrl + Shift + Стрелка</t>
  </si>
  <si>
    <t>Выделяет область от текущей ячейки до последней заполненной</t>
  </si>
  <si>
    <t>Ctrl + с  или Ctrl + Ins</t>
  </si>
  <si>
    <t xml:space="preserve">Копирует данные. </t>
  </si>
  <si>
    <t>Ctrl + v  или Enter</t>
  </si>
  <si>
    <t>Если скопированы ячейки целиком, то для вставки необходимо лишь установить курсор в нужное место и нажать Enter</t>
  </si>
  <si>
    <t>Ctrl + Колёсико мыши</t>
  </si>
  <si>
    <t>Масштаб</t>
  </si>
  <si>
    <t>Ctrl + Shift + 1</t>
  </si>
  <si>
    <t>Числовой формат (единичку нажимать на в верхнем ряду клавиш, а не на цифровом блоке справа)</t>
  </si>
  <si>
    <t>Ctrl + Shift + 5</t>
  </si>
  <si>
    <t>Процентный формат (Символ % на клавиатуре)</t>
  </si>
  <si>
    <t>Для закрепления ячейки в формуле после указания её адреса можно нажать F4</t>
  </si>
  <si>
    <t>Если выделить несколько столбцов или строк, а потом изменить размер одной строки или столбца, то изменится размер у всего выделения</t>
  </si>
  <si>
    <t>Для быстрого изменения формата нескольких ячеек достаточно скопировать туда ячейку с нужным форматом и удалить данные</t>
  </si>
  <si>
    <t>Функция =РАЗНДАТ(Дата1;Дата2;"m") выводит количество полных месяцев между двумя конкретными датами</t>
  </si>
  <si>
    <t>Если вместо "m" указать "y" - то результатом будет количество полных лет, а если "d" - количество дней</t>
  </si>
  <si>
    <t>Данная функция может быть недокументированной в русскоязычной версии Excel, но работать</t>
  </si>
  <si>
    <t>Дата 1</t>
  </si>
  <si>
    <t>Дата  2</t>
  </si>
  <si>
    <t>Месяцев</t>
  </si>
  <si>
    <t>Лет</t>
  </si>
  <si>
    <t>Дней</t>
  </si>
  <si>
    <r>
      <rPr>
        <sz val="22"/>
        <color theme="1"/>
        <rFont val="Symbol"/>
        <family val="1"/>
        <charset val="2"/>
      </rPr>
      <t>®</t>
    </r>
    <r>
      <rPr>
        <i/>
        <sz val="22"/>
        <color theme="1"/>
        <rFont val="Calibri"/>
        <family val="2"/>
        <charset val="204"/>
      </rPr>
      <t xml:space="preserve"> </t>
    </r>
    <r>
      <rPr>
        <i/>
        <sz val="22"/>
        <color theme="1"/>
        <rFont val="Calibri"/>
        <family val="2"/>
        <charset val="204"/>
        <scheme val="minor"/>
      </rPr>
      <t>НДС (как величина, так и наличие/отсутствие);</t>
    </r>
  </si>
  <si>
    <r>
      <rPr>
        <sz val="22"/>
        <color theme="1"/>
        <rFont val="Symbol"/>
        <family val="1"/>
        <charset val="2"/>
      </rPr>
      <t>®</t>
    </r>
    <r>
      <rPr>
        <i/>
        <sz val="22"/>
        <color theme="1"/>
        <rFont val="Calibri"/>
        <family val="2"/>
        <charset val="204"/>
      </rPr>
      <t xml:space="preserve"> знать различные условия поставки (EXW, FCA, DDP и т.д.)</t>
    </r>
    <r>
      <rPr>
        <i/>
        <sz val="22"/>
        <color theme="1"/>
        <rFont val="Calibri"/>
        <family val="2"/>
        <charset val="204"/>
        <scheme val="minor"/>
      </rPr>
      <t>;</t>
    </r>
  </si>
  <si>
    <t>Основные точки внимания и необходимые знания/умения:</t>
  </si>
  <si>
    <r>
      <rPr>
        <sz val="22"/>
        <color theme="1"/>
        <rFont val="Symbol"/>
        <family val="1"/>
        <charset val="2"/>
      </rPr>
      <t>®</t>
    </r>
    <r>
      <rPr>
        <i/>
        <sz val="22"/>
        <color theme="1"/>
        <rFont val="Calibri"/>
        <family val="2"/>
        <charset val="204"/>
      </rPr>
      <t xml:space="preserve"> расчет износа от возрастов/сроков</t>
    </r>
    <r>
      <rPr>
        <i/>
        <sz val="22"/>
        <color theme="1"/>
        <rFont val="Calibri"/>
        <family val="2"/>
        <charset val="204"/>
        <scheme val="minor"/>
      </rPr>
      <t>;</t>
    </r>
  </si>
  <si>
    <r>
      <rPr>
        <sz val="22"/>
        <color theme="1"/>
        <rFont val="Symbol"/>
        <family val="1"/>
        <charset val="2"/>
      </rPr>
      <t>®</t>
    </r>
    <r>
      <rPr>
        <i/>
        <sz val="22"/>
        <color theme="1"/>
        <rFont val="Calibri"/>
        <family val="2"/>
        <charset val="204"/>
      </rPr>
      <t xml:space="preserve"> </t>
    </r>
    <r>
      <rPr>
        <i/>
        <sz val="22"/>
        <color theme="1"/>
        <rFont val="Calibri"/>
        <family val="2"/>
        <charset val="204"/>
        <scheme val="minor"/>
      </rPr>
      <t>коэффициент торможения - задач много;</t>
    </r>
  </si>
  <si>
    <r>
      <t xml:space="preserve">5.2.1.38. (4 балла). Предприятие заказало сборочную линию в США за 20 млн. долл. без учета НДС и других косвенных налогов (на условиях EXW (склад продавца при заводе)). Масса линии 80 тонн. Доставка оплачивается отдельно и состоит </t>
    </r>
    <r>
      <rPr>
        <b/>
        <sz val="14"/>
        <color rgb="FFFF0000"/>
        <rFont val="Calibri"/>
        <family val="2"/>
        <charset val="204"/>
        <scheme val="minor"/>
      </rPr>
      <t>из фиксированной</t>
    </r>
    <r>
      <rPr>
        <b/>
        <sz val="14"/>
        <color theme="1"/>
        <rFont val="Calibri"/>
        <family val="2"/>
        <charset val="204"/>
        <scheme val="minor"/>
      </rPr>
      <t xml:space="preserve"> суммы 0,5 млн. долл. </t>
    </r>
    <r>
      <rPr>
        <b/>
        <sz val="14"/>
        <color rgb="FFFF0000"/>
        <rFont val="Calibri"/>
        <family val="2"/>
        <charset val="204"/>
        <scheme val="minor"/>
      </rPr>
      <t>и надбавки</t>
    </r>
    <r>
      <rPr>
        <b/>
        <sz val="14"/>
        <color theme="1"/>
        <rFont val="Calibri"/>
        <family val="2"/>
        <charset val="204"/>
        <scheme val="minor"/>
      </rPr>
      <t xml:space="preserve"> 0,1 млн. долл. США за каждую дополнительную тонну оборудования массой более 50 тонн. Таможенная пошлина составляет 5% от стоимости линии (</t>
    </r>
    <r>
      <rPr>
        <b/>
        <sz val="14"/>
        <color rgb="FFFF0000"/>
        <rFont val="Calibri"/>
        <family val="2"/>
        <charset val="204"/>
        <scheme val="minor"/>
      </rPr>
      <t>без учета доставки</t>
    </r>
    <r>
      <rPr>
        <b/>
        <sz val="14"/>
        <color theme="1"/>
        <rFont val="Calibri"/>
        <family val="2"/>
        <charset val="204"/>
        <scheme val="minor"/>
      </rPr>
      <t xml:space="preserve">). Монтаж и пуско-наладка осуществлялись российскими подрядчиками, расходы составили 100 млн. руб. Определить затраты на воспроизводство линии </t>
    </r>
    <r>
      <rPr>
        <b/>
        <sz val="14"/>
        <color rgb="FFFF0000"/>
        <rFont val="Calibri"/>
        <family val="2"/>
        <charset val="204"/>
        <scheme val="minor"/>
      </rPr>
      <t>в установленном</t>
    </r>
    <r>
      <rPr>
        <b/>
        <sz val="14"/>
        <color theme="1"/>
        <rFont val="Calibri"/>
        <family val="2"/>
        <charset val="204"/>
        <scheme val="minor"/>
      </rPr>
      <t xml:space="preserve"> состоянии в рублях без учета НДС, если курс доллара составляет 60 руб. за доллар.</t>
    </r>
  </si>
  <si>
    <r>
      <t xml:space="preserve">5.2.1.39. Объект оценки - </t>
    </r>
    <r>
      <rPr>
        <b/>
        <sz val="14"/>
        <color rgb="FFFF0000"/>
        <rFont val="Calibri"/>
        <family val="2"/>
        <charset val="204"/>
        <scheme val="minor"/>
      </rPr>
      <t>американский</t>
    </r>
    <r>
      <rPr>
        <b/>
        <sz val="14"/>
        <color theme="1"/>
        <rFont val="Calibri"/>
        <family val="2"/>
        <charset val="204"/>
        <scheme val="minor"/>
      </rPr>
      <t xml:space="preserve"> легковой автомобиль с пробегом 30 000 </t>
    </r>
    <r>
      <rPr>
        <b/>
        <sz val="14"/>
        <color rgb="FFFF0000"/>
        <rFont val="Calibri"/>
        <family val="2"/>
        <charset val="204"/>
        <scheme val="minor"/>
      </rPr>
      <t>км</t>
    </r>
    <r>
      <rPr>
        <b/>
        <sz val="14"/>
        <color theme="1"/>
        <rFont val="Calibri"/>
        <family val="2"/>
        <charset val="204"/>
        <scheme val="minor"/>
      </rPr>
      <t xml:space="preserve"> и возрастом 2 года. Ближайший аналог - американский легковой автомобиль с аналогичным пробегом и возрастом 4 года. Стоимость нового автомобиля равна 1 000 тыс. руб. Физический износ рассчитывается по формуле Иф = 1- exp(-ɷ). Зависимость ɷ для расчета износа для легковых автомобилей американского производства: ɷ = 0,055*В + 0,003*П, а для автомобилей азиатского производства: ɷ = 0,065*В + 0,0032*П, где П - пробег, в </t>
    </r>
    <r>
      <rPr>
        <b/>
        <sz val="14"/>
        <color rgb="FFFF0000"/>
        <rFont val="Calibri"/>
        <family val="2"/>
        <charset val="204"/>
        <scheme val="minor"/>
      </rPr>
      <t>тыс</t>
    </r>
    <r>
      <rPr>
        <b/>
        <sz val="14"/>
        <color theme="1"/>
        <rFont val="Calibri"/>
        <family val="2"/>
        <charset val="204"/>
        <scheme val="minor"/>
      </rPr>
      <t>. км, а В - возраст транспортного средства в годах. Определите абсолютную поправку к цене объекта-аналога в тыс. руб., если использовать методику оценки остаточной стоимости транспортных средств с учетом технического состояния.</t>
    </r>
  </si>
  <si>
    <r>
      <t xml:space="preserve">5.2.1.42. Насос производительностью 6 куб м стоит на 25% дороже, чем насос производительностью 4,5 куб м. Какую </t>
    </r>
    <r>
      <rPr>
        <b/>
        <sz val="14"/>
        <color rgb="FFFF0000"/>
        <rFont val="Calibri"/>
        <family val="2"/>
        <charset val="204"/>
        <scheme val="minor"/>
      </rPr>
      <t>коэффициентную</t>
    </r>
    <r>
      <rPr>
        <b/>
        <sz val="14"/>
        <color theme="1"/>
        <rFont val="Calibri"/>
        <family val="2"/>
        <charset val="204"/>
        <scheme val="minor"/>
      </rPr>
      <t xml:space="preserve"> корректировку необходимо внести к стоимости объекта-аналога (производительностью 6 куб м), если объект оценки производительностью 4,5 куб м?</t>
    </r>
  </si>
  <si>
    <t>Если будет необходимо найти процентную корректировку</t>
  </si>
  <si>
    <r>
      <t xml:space="preserve">5.2.1.46. В 2012 году оборудование американского производства куплено через российского дилера за 30 000 000 </t>
    </r>
    <r>
      <rPr>
        <b/>
        <sz val="14"/>
        <color rgb="FFFF0000"/>
        <rFont val="Calibri"/>
        <family val="2"/>
        <charset val="204"/>
        <scheme val="minor"/>
      </rPr>
      <t>руб</t>
    </r>
    <r>
      <rPr>
        <b/>
        <sz val="14"/>
        <color theme="1"/>
        <rFont val="Calibri"/>
        <family val="2"/>
        <charset val="204"/>
        <scheme val="minor"/>
      </rPr>
      <t>. Доставка, монтаж, пуско-наладка осуществлялись российскими компаниями и составили 800 000 руб. Курс доллара на 2017 год – 60 руб./ долл.США. В 2017 году цены на СМР в России по отношению к 2012 году выросли в 5,0 раз. Цена на оборудование в США выросла в 1,75 раза. Найти стоимость воспроизводства, если курс доллара в 2012 году был 23,5 руб.</t>
    </r>
  </si>
  <si>
    <r>
      <rPr>
        <sz val="22"/>
        <color theme="1"/>
        <rFont val="Symbol"/>
        <family val="1"/>
        <charset val="2"/>
      </rPr>
      <t>®</t>
    </r>
    <r>
      <rPr>
        <i/>
        <sz val="22"/>
        <color theme="1"/>
        <rFont val="Calibri"/>
        <family val="2"/>
        <charset val="204"/>
      </rPr>
      <t xml:space="preserve"> в задачах с курсами валют внимательно к валюте покупки (рубли или валюта)</t>
    </r>
    <r>
      <rPr>
        <i/>
        <sz val="22"/>
        <color theme="1"/>
        <rFont val="Calibri"/>
        <family val="2"/>
        <charset val="204"/>
        <scheme val="minor"/>
      </rPr>
      <t>;</t>
    </r>
  </si>
  <si>
    <t>На дату покупки "откатываемся" к долларам</t>
  </si>
  <si>
    <t>Индексация в долларах</t>
  </si>
  <si>
    <t>Возвращаемся в рубли по курсу на дату оценки</t>
  </si>
  <si>
    <t>Удорожание СМР в рублях</t>
  </si>
  <si>
    <r>
      <t>5.2.1.48. В 2007 г. в Германии приобретено оборудование ценой 450000 евро на условиях FCA (</t>
    </r>
    <r>
      <rPr>
        <b/>
        <sz val="14"/>
        <color rgb="FFFF0000"/>
        <rFont val="Calibri"/>
        <family val="2"/>
        <charset val="204"/>
        <scheme val="minor"/>
      </rPr>
      <t>включает таможенные формальности</t>
    </r>
    <r>
      <rPr>
        <b/>
        <sz val="14"/>
        <color theme="1"/>
        <rFont val="Calibri"/>
        <family val="2"/>
        <charset val="204"/>
        <scheme val="minor"/>
      </rPr>
      <t>). Индекс роста цен в 2007 году - 1,92  в 2017  году - 2,92. Стоимость поставки с монтажом составляет 30% (</t>
    </r>
    <r>
      <rPr>
        <b/>
        <sz val="14"/>
        <color rgb="FFFF0000"/>
        <rFont val="Calibri"/>
        <family val="2"/>
        <charset val="204"/>
        <scheme val="minor"/>
      </rPr>
      <t>в том числе</t>
    </r>
    <r>
      <rPr>
        <b/>
        <sz val="14"/>
        <color theme="1"/>
        <rFont val="Calibri"/>
        <family val="2"/>
        <charset val="204"/>
        <scheme val="minor"/>
      </rPr>
      <t xml:space="preserve"> 5% таможенные платежи). Определить стоимость на дату оценки 2017 г. Курс евро на дату поставки 32,05 руб., на дату оценки 68,12 руб.</t>
    </r>
  </si>
  <si>
    <t>5% не включаем</t>
  </si>
  <si>
    <t>Это импортные платежи</t>
  </si>
  <si>
    <t>5.2.1.49. Оборудование приобретено 1 февраля 2016 г. за 100 000 руб. Поставлено на баланс и начало эксплуатироваться 1 апреля 2016г. Нормативный срок службы 5 лет (60 мес.). Затраты на монтаж составляют 10% от стоимости. Износ начисляется линейно. Подобное оборудование дорожает на 1 % в месяц. Определить рыночную стоимость на 1 марта 2017 г. Округлить до тысяч.</t>
  </si>
  <si>
    <t>5.2.1.50. В 2010 году за 200 000 долларов приобретено оборудование в Германии на условиях FCA (включает оформление документации на таможне). Дата оценки 2017, в 2010 году индекс был 1,259, в 2017 году индекс был 1,358. Доставка, монтаж, все пошлины составляют 10% от стоимости приобретения. Стоимость импортных пошлин составляет 5% объекта. Курс доллара на 2010 год 30 руб., на дату оценки 65 руб. Определить рыночную стоимость в рублях, округлить до тыс. руб.</t>
  </si>
  <si>
    <t>Входят в указанные выше 10%</t>
  </si>
  <si>
    <t>Обратно от ставки капитализации к ставке дисконтирования</t>
  </si>
  <si>
    <r>
      <t xml:space="preserve">5.2.1.57. </t>
    </r>
    <r>
      <rPr>
        <b/>
        <sz val="14"/>
        <color rgb="FFFF0000"/>
        <rFont val="Calibri"/>
        <family val="2"/>
        <charset val="204"/>
        <scheme val="minor"/>
      </rPr>
      <t>Корейский</t>
    </r>
    <r>
      <rPr>
        <b/>
        <sz val="14"/>
        <color theme="1"/>
        <rFont val="Calibri"/>
        <family val="2"/>
        <charset val="204"/>
        <scheme val="minor"/>
      </rPr>
      <t xml:space="preserve"> автомобиль, пробег 30 000 </t>
    </r>
    <r>
      <rPr>
        <b/>
        <sz val="14"/>
        <color rgb="FFFF0000"/>
        <rFont val="Calibri"/>
        <family val="2"/>
        <charset val="204"/>
        <scheme val="minor"/>
      </rPr>
      <t>км</t>
    </r>
    <r>
      <rPr>
        <b/>
        <sz val="14"/>
        <color theme="1"/>
        <rFont val="Calibri"/>
        <family val="2"/>
        <charset val="204"/>
        <scheme val="minor"/>
      </rPr>
      <t xml:space="preserve">, срок службы 2 года. Аналог – корейский автомобиль, пробег 25 000 км, срок службы 2 года. Стоимость нового 100 000 руб. Физический износ рассчитывается по формуле: Иф = 1-ехр(-ω). Зависимость ω для расчета износа легковых автомобилей </t>
    </r>
    <r>
      <rPr>
        <b/>
        <sz val="14"/>
        <color rgb="FFFF0000"/>
        <rFont val="Calibri"/>
        <family val="2"/>
        <charset val="204"/>
        <scheme val="minor"/>
      </rPr>
      <t>азиатского</t>
    </r>
    <r>
      <rPr>
        <b/>
        <sz val="14"/>
        <color theme="1"/>
        <rFont val="Calibri"/>
        <family val="2"/>
        <charset val="204"/>
        <scheme val="minor"/>
      </rPr>
      <t xml:space="preserve"> производства: ω = 0,065*В+0,0032*П, для автомобилей американского производства: ω = 0,055*В+0,003*П, где П - пробег в тыс. км, а В - возраст транспортного средства в годах. Определите </t>
    </r>
    <r>
      <rPr>
        <b/>
        <sz val="14"/>
        <color rgb="FFFF0000"/>
        <rFont val="Calibri"/>
        <family val="2"/>
        <charset val="204"/>
        <scheme val="minor"/>
      </rPr>
      <t>корректирующий коэффициент</t>
    </r>
    <r>
      <rPr>
        <b/>
        <sz val="14"/>
        <color theme="1"/>
        <rFont val="Calibri"/>
        <family val="2"/>
        <charset val="204"/>
        <scheme val="minor"/>
      </rPr>
      <t xml:space="preserve"> к цене объекта-аналога.</t>
    </r>
  </si>
  <si>
    <t>Износ меньше, аналог дороже, понижающий коэффициент</t>
  </si>
  <si>
    <t>Не путайте индекс и прирост (увеличение) стоимости</t>
  </si>
  <si>
    <r>
      <rPr>
        <sz val="22"/>
        <color theme="1"/>
        <rFont val="Symbol"/>
        <family val="1"/>
        <charset val="2"/>
      </rPr>
      <t>®</t>
    </r>
    <r>
      <rPr>
        <i/>
        <sz val="22"/>
        <color theme="1"/>
        <rFont val="Calibri"/>
        <family val="2"/>
        <charset val="204"/>
      </rPr>
      <t xml:space="preserve"> расчет износа долгоживущих и короткоживущих элементов через доли</t>
    </r>
    <r>
      <rPr>
        <i/>
        <sz val="22"/>
        <color theme="1"/>
        <rFont val="Calibri"/>
        <family val="2"/>
        <charset val="204"/>
        <scheme val="minor"/>
      </rPr>
      <t>;</t>
    </r>
  </si>
  <si>
    <t>Износ долгоживущих*Доля долгоживущих + Износ короткоживущих*Доля короткоживущих</t>
  </si>
  <si>
    <t>Лишние данные (оборудование из Германии, соответственно, и индексы нужны Евростата)</t>
  </si>
  <si>
    <r>
      <t xml:space="preserve">5.2.1.68. Рассчитать затраты на воспроизводство производственной линии, произведенной </t>
    </r>
    <r>
      <rPr>
        <b/>
        <sz val="14"/>
        <color rgb="FFFF0000"/>
        <rFont val="Calibri"/>
        <family val="2"/>
        <charset val="204"/>
        <scheme val="minor"/>
      </rPr>
      <t>в Германии</t>
    </r>
    <r>
      <rPr>
        <b/>
        <sz val="14"/>
        <color theme="1"/>
        <rFont val="Calibri"/>
        <family val="2"/>
        <charset val="204"/>
        <scheme val="minor"/>
      </rPr>
      <t xml:space="preserve">. Первоначальная балансовая стоимость 265 600 000 </t>
    </r>
    <r>
      <rPr>
        <b/>
        <sz val="14"/>
        <color rgb="FFFF0000"/>
        <rFont val="Calibri"/>
        <family val="2"/>
        <charset val="204"/>
        <scheme val="minor"/>
      </rPr>
      <t>руб</t>
    </r>
    <r>
      <rPr>
        <b/>
        <sz val="14"/>
        <color theme="1"/>
        <rFont val="Calibri"/>
        <family val="2"/>
        <charset val="204"/>
        <scheme val="minor"/>
      </rPr>
      <t xml:space="preserve">. Курс евро на дату постановки на баланс 41 руб./евро ( на дату оценки 61 руб./евро). Индекс </t>
    </r>
    <r>
      <rPr>
        <b/>
        <sz val="14"/>
        <color rgb="FFFF0000"/>
        <rFont val="Calibri"/>
        <family val="2"/>
        <charset val="204"/>
        <scheme val="minor"/>
      </rPr>
      <t>Евростата</t>
    </r>
    <r>
      <rPr>
        <b/>
        <sz val="14"/>
        <color theme="1"/>
        <rFont val="Calibri"/>
        <family val="2"/>
        <charset val="204"/>
        <scheme val="minor"/>
      </rPr>
      <t xml:space="preserve"> для таких активов к базисному году на дату постановки на баланс 1,361 (на дату оценки 1,387). Индекс </t>
    </r>
    <r>
      <rPr>
        <b/>
        <sz val="14"/>
        <color rgb="FFFF0000"/>
        <rFont val="Calibri"/>
        <family val="2"/>
        <charset val="204"/>
        <scheme val="minor"/>
      </rPr>
      <t>Росстата</t>
    </r>
    <r>
      <rPr>
        <b/>
        <sz val="14"/>
        <color theme="1"/>
        <rFont val="Calibri"/>
        <family val="2"/>
        <charset val="204"/>
        <scheme val="minor"/>
      </rPr>
      <t xml:space="preserve"> к базисному году на дату постановки на баланс 3,173 (на дату оценки 4,693)</t>
    </r>
  </si>
  <si>
    <t>Рассчитаем относительную стоимость нового оборудования производительностью 8 деталей на дату оценки</t>
  </si>
  <si>
    <t>5.2.1.70. В июне 2007 года оборудование поставлено на баланс и начало эксплуатироваться. Первоначальная стоимость 1 600 000 руб. Предельный физический износ оборудования составляет 90%. Нормативный срок жизни - 10 лет. Оборудование находится в работоспособном состоянии. Определить рыночную стоимость оборудования на июнь 2017 года</t>
  </si>
  <si>
    <r>
      <t xml:space="preserve">5.2.1.73. На обслуживание объекта оценки требуется 2 работника с з/п 1000, для обслуживания нового аналога стоимостью 600 000 рублей - 1 работник с з/п 1600, начисления на з/п 35,6%. Ставка дисконтирования 25%, дисконтирование производится </t>
    </r>
    <r>
      <rPr>
        <b/>
        <sz val="14"/>
        <color rgb="FFFF0000"/>
        <rFont val="Calibri"/>
        <family val="2"/>
        <charset val="204"/>
        <scheme val="minor"/>
      </rPr>
      <t>на конец</t>
    </r>
    <r>
      <rPr>
        <b/>
        <sz val="14"/>
        <color theme="1"/>
        <rFont val="Calibri"/>
        <family val="2"/>
        <charset val="204"/>
        <scheme val="minor"/>
      </rPr>
      <t xml:space="preserve"> каждого месяца. Оставшийся срок 5 лет, нормативный срок 15 лет, рассчитать стоимость. Эффект от разницы налога на прибыль не учитывать</t>
    </r>
  </si>
  <si>
    <t>5.2.1.75. Оборудование поставлено на баланс предприятием в 2007 году и до сих пор работает. Оценщик индексным методом определил величину затрат на воспроизводство, которая составила 2 млн. руб. Нормативный срок службы данного оборудования 10 лет. Предельный физический износ для данного оборудования 90%. Также оценщиком была найдена цена на данное оборудование от завода-изготовителя, которая составила 2,5 млн. руб. Затраты на монтаж оборудования определены в размере 250 тыс. руб. Других видов износа и устареваний оценщиком не выявлено. Найти рыночную стоимость оборудования по состоянию на 2017 год.</t>
  </si>
  <si>
    <r>
      <t xml:space="preserve">5.2.1.77. (4 балла). Линия по производству пряников состоит из тестомесильного блока, формовочно-выпечной машины и упаковочной части. Тестомесильный блок был куплен 3 года назад за 200 тыс. руб. с НДС (НДС 18%) с износом 60%, эффективный возраст был 5 лет, сразу был проведён ремонт, который </t>
    </r>
    <r>
      <rPr>
        <b/>
        <sz val="14"/>
        <color rgb="FFFF0000"/>
        <rFont val="Calibri"/>
        <family val="2"/>
        <charset val="204"/>
        <scheme val="minor"/>
      </rPr>
      <t>увеличил оставшийся срок жизни на 2 года</t>
    </r>
    <r>
      <rPr>
        <b/>
        <sz val="14"/>
        <color theme="1"/>
        <rFont val="Calibri"/>
        <family val="2"/>
        <charset val="204"/>
        <scheme val="minor"/>
      </rPr>
      <t xml:space="preserve">. Новая формовочно-выпечная машина куплена 2 года назад взамен неисправной, поставлена на баланс по балансовой стоимости 200 тыс.руб., срок службы </t>
    </r>
    <r>
      <rPr>
        <b/>
        <sz val="14"/>
        <color rgb="FFFF0000"/>
        <rFont val="Calibri"/>
        <family val="2"/>
        <charset val="204"/>
        <scheme val="minor"/>
      </rPr>
      <t>12</t>
    </r>
    <r>
      <rPr>
        <b/>
        <sz val="14"/>
        <color theme="1"/>
        <rFont val="Calibri"/>
        <family val="2"/>
        <charset val="204"/>
        <scheme val="minor"/>
      </rPr>
      <t xml:space="preserve"> лет, из-за условий эксплуатации износ машины в 1,5 раза выше обычного. Текущая рыночная стоимость упаковочной линии - 300 тыс. руб. с НДС, эффективный возраст 4 года, остаточный 7 лет. Ежегодный прирост цен 10%. Износ начисляется линейно, функциональное и внешнее устаревание не выявлено. Определить </t>
    </r>
    <r>
      <rPr>
        <b/>
        <sz val="14"/>
        <color rgb="FFFF0000"/>
        <rFont val="Calibri"/>
        <family val="2"/>
        <charset val="204"/>
        <scheme val="minor"/>
      </rPr>
      <t>долю стоимости упаковщика в общей стоимости</t>
    </r>
    <r>
      <rPr>
        <b/>
        <sz val="14"/>
        <color theme="1"/>
        <rFont val="Calibri"/>
        <family val="2"/>
        <charset val="204"/>
        <scheme val="minor"/>
      </rPr>
      <t xml:space="preserve"> производственной линии</t>
    </r>
  </si>
  <si>
    <r>
      <t xml:space="preserve">5.2.1.76. (4 балла). Линия по производству пряников состоит из тестомесильного блока, формовочно-выпечной машины и упаковочной части. Тестомесильный блок был куплен 3 года назад за 200 тыс. руб. с НДС (НДС 18%) с износом 60%, эффективный возраст был 5 лет, сразу был проведён ремонт, который </t>
    </r>
    <r>
      <rPr>
        <b/>
        <sz val="14"/>
        <color rgb="FFFF0000"/>
        <rFont val="Calibri"/>
        <family val="2"/>
        <charset val="204"/>
        <scheme val="minor"/>
      </rPr>
      <t>сократил эффективный возраст на 2 года</t>
    </r>
    <r>
      <rPr>
        <b/>
        <sz val="14"/>
        <color theme="1"/>
        <rFont val="Calibri"/>
        <family val="2"/>
        <charset val="204"/>
        <scheme val="minor"/>
      </rPr>
      <t xml:space="preserve">. Новая формовочно-выпечная машина куплена 2 года назад взамен неисправной, поставлена на баланс по балансовой стоимости 200 тыс.руб., срок службы </t>
    </r>
    <r>
      <rPr>
        <b/>
        <sz val="14"/>
        <color rgb="FFFF0000"/>
        <rFont val="Calibri"/>
        <family val="2"/>
        <charset val="204"/>
        <scheme val="minor"/>
      </rPr>
      <t>6</t>
    </r>
    <r>
      <rPr>
        <b/>
        <sz val="14"/>
        <color theme="1"/>
        <rFont val="Calibri"/>
        <family val="2"/>
        <charset val="204"/>
        <scheme val="minor"/>
      </rPr>
      <t xml:space="preserve"> лет, из-за условий эксплуатации износ машины в 1,5 раза выше обычного. Текущая рыночная стоимость упаковочной линии - 300 тыс. руб. с НДС, эффективный возраст 4 года, остаточный 7 лет. Ежегодный прирост цен 10%. Износ начисляется линейно, функциональное и внешнее устаревание не выявлено. Рассчитать </t>
    </r>
    <r>
      <rPr>
        <b/>
        <sz val="14"/>
        <color rgb="FFFF0000"/>
        <rFont val="Calibri"/>
        <family val="2"/>
        <charset val="204"/>
        <scheme val="minor"/>
      </rPr>
      <t>износ в рублях (с НДС)</t>
    </r>
    <r>
      <rPr>
        <b/>
        <sz val="14"/>
        <color theme="1"/>
        <rFont val="Calibri"/>
        <family val="2"/>
        <charset val="204"/>
        <scheme val="minor"/>
      </rPr>
      <t>.</t>
    </r>
  </si>
  <si>
    <r>
      <t xml:space="preserve">5.2.1.79. Индекс цен с 01.01.2010 года по 01.01.2013 года равен 0,85, с 01.01.2013 года по 01.01.2015 года цены выросли на 110%, с 01.01.2015 года по 01.01.2018 года </t>
    </r>
    <r>
      <rPr>
        <b/>
        <sz val="14"/>
        <color rgb="FFFF0000"/>
        <rFont val="Calibri"/>
        <family val="2"/>
        <charset val="204"/>
        <scheme val="minor"/>
      </rPr>
      <t>уменьшились в 1,4 раза</t>
    </r>
    <r>
      <rPr>
        <b/>
        <sz val="14"/>
        <color theme="1"/>
        <rFont val="Calibri"/>
        <family val="2"/>
        <charset val="204"/>
        <scheme val="minor"/>
      </rPr>
      <t>. Найти изменение цен с 01.01.2010 года по 01.01.2018 года.</t>
    </r>
  </si>
  <si>
    <t>На этот индекс нужно разделить</t>
  </si>
  <si>
    <r>
      <t xml:space="preserve">5.2.1.80. Затраты на создание металлического резервуара объемом 120 м3 составляют 110 000 руб. Коэффициент, учитывающий стоимость доставки и монтажа резервуара, составляет 1,7. Затраты на </t>
    </r>
    <r>
      <rPr>
        <b/>
        <sz val="14"/>
        <color rgb="FFFF0000"/>
        <rFont val="Calibri"/>
        <family val="2"/>
        <charset val="204"/>
        <scheme val="minor"/>
      </rPr>
      <t>ускоренную</t>
    </r>
    <r>
      <rPr>
        <b/>
        <sz val="14"/>
        <color theme="1"/>
        <rFont val="Calibri"/>
        <family val="2"/>
        <charset val="204"/>
        <scheme val="minor"/>
      </rPr>
      <t xml:space="preserve"> доставку металлоконструкций - 15 000 руб. Надбавка за </t>
    </r>
    <r>
      <rPr>
        <b/>
        <sz val="14"/>
        <color rgb="FFFF0000"/>
        <rFont val="Calibri"/>
        <family val="2"/>
        <charset val="204"/>
        <scheme val="minor"/>
      </rPr>
      <t>срочное</t>
    </r>
    <r>
      <rPr>
        <b/>
        <sz val="14"/>
        <color theme="1"/>
        <rFont val="Calibri"/>
        <family val="2"/>
        <charset val="204"/>
        <scheme val="minor"/>
      </rPr>
      <t xml:space="preserve"> оформление документации - 10% от стоимости металлоконструкций. Необходимо рассчитать стоимость замещения смонтированного резервуара объемом 150 куб. м с использованием коэффициента торможения. Для расчета коэффициента торможения использовать данные: затраты на создание металлического резервуара объемом 100 м3 составляют 100 000 руб., объемом 175 м3 - 140 000 руб.</t>
    </r>
  </si>
  <si>
    <t>Корень 96-й степени из индекса 2010-2018, поскольку индексы не складываются, а перемножаются</t>
  </si>
  <si>
    <r>
      <t xml:space="preserve">5.2.1.82. (4 балла). Линия по производству пряников состоит из тестомесильного блока, формовочно-выпечной машины и упаковочной части. Тестомесильный блок был куплен 3 года назад за 200 тыс. руб. с НДС (НДС 18%) с износом 60%, эффективный возраст был 5 лет, сразу был проведён ремонт, который сократил эффективный возраст на 2 года. Новая формовочно-выпечная машина куплена 2 года назад взамен неисправной, поставлена на баланс по балансовой стоимости 200 тыс.руб., срок службы 6 лет, из-за условий эксплуатации износ машины в 1,5 раза выше обычного. Текущая рыночная стоимость упаковочной линии - 300 тыс. руб. с НДС, эффективный возраст 4 года, остаточный 7 лет. Ежегодный прирост цен 10%. Износ начисляется линейно, функциональное и внешнее устаревание не выявлено. Рассчитать </t>
    </r>
    <r>
      <rPr>
        <b/>
        <sz val="14"/>
        <color rgb="FFFF0000"/>
        <rFont val="Calibri"/>
        <family val="2"/>
        <charset val="204"/>
        <scheme val="minor"/>
      </rPr>
      <t>среднегодовую величину износа (в процентах</t>
    </r>
    <r>
      <rPr>
        <b/>
        <sz val="14"/>
        <color theme="1"/>
        <rFont val="Calibri"/>
        <family val="2"/>
        <charset val="204"/>
        <scheme val="minor"/>
      </rPr>
      <t>).</t>
    </r>
  </si>
  <si>
    <t>5.2.1.83. (4 балла). Линия по производству пряников состоит из тестомесильного блока, формовочно-выпечной машины и упаковочной части. Тестомесильный блок был куплен 3 года назад за 200 тыс. руб. с НДС (НДС 18%) с износом 60%, эффективный возраст был 5 лет, сразу был проведён ремонт, который сократил эффективный возраст на 2 года. Новая формовочно-выпечная машина куплена 2 года назад взамен неисправной, поставлена на баланс по балансовой стоимости 200 тыс.руб., срок службы 6 лет, из-за условий эксплуатации износ машины в 1,5 раза выше обычного. Текущая рыночная стоимость упаковочной линии - 300 тыс. руб. с НДС, эффективный возраст 4 года, остаточный 7 лет. Ежегодный прирост цен 10%. Износ начисляется линейно, функциональное и внешнее устаревание не выявлено. Рассчитать износ в процентах.</t>
  </si>
  <si>
    <r>
      <rPr>
        <sz val="22"/>
        <color theme="1"/>
        <rFont val="Symbol"/>
        <family val="1"/>
        <charset val="2"/>
      </rPr>
      <t>®</t>
    </r>
    <r>
      <rPr>
        <i/>
        <sz val="22"/>
        <color theme="1"/>
        <rFont val="Calibri"/>
        <family val="2"/>
        <charset val="204"/>
      </rPr>
      <t xml:space="preserve"> работа с индексами, в том числе уменьшающими стоимость (5.2.1.79) и "обратными" (5.2.1.84)</t>
    </r>
    <r>
      <rPr>
        <i/>
        <sz val="22"/>
        <color theme="1"/>
        <rFont val="Calibri"/>
        <family val="2"/>
        <charset val="204"/>
        <scheme val="minor"/>
      </rPr>
      <t>;</t>
    </r>
  </si>
  <si>
    <t>"Обратный" индекс - от более поздней к более ранней дате</t>
  </si>
  <si>
    <t>Приводим индекс к нормальному виду</t>
  </si>
  <si>
    <r>
      <t xml:space="preserve">5.2.1.84. С </t>
    </r>
    <r>
      <rPr>
        <b/>
        <sz val="14"/>
        <color rgb="FFFF0000"/>
        <rFont val="Calibri"/>
        <family val="2"/>
        <charset val="204"/>
        <scheme val="minor"/>
      </rPr>
      <t>01.01.2013</t>
    </r>
    <r>
      <rPr>
        <b/>
        <sz val="14"/>
        <color theme="1"/>
        <rFont val="Calibri"/>
        <family val="2"/>
        <charset val="204"/>
        <scheme val="minor"/>
      </rPr>
      <t xml:space="preserve"> по </t>
    </r>
    <r>
      <rPr>
        <b/>
        <sz val="14"/>
        <color rgb="FFFF0000"/>
        <rFont val="Calibri"/>
        <family val="2"/>
        <charset val="204"/>
        <scheme val="minor"/>
      </rPr>
      <t>01.01.2010</t>
    </r>
    <r>
      <rPr>
        <b/>
        <sz val="14"/>
        <color theme="1"/>
        <rFont val="Calibri"/>
        <family val="2"/>
        <charset val="204"/>
        <scheme val="minor"/>
      </rPr>
      <t xml:space="preserve"> индекс изменения цен составил 0,85, с 01.01.2013 по 01.01.2016 цены выросли на 110%, а с 01.01.2016 по 01.01.2018 упали в 1,4 раза. Найти</t>
    </r>
    <r>
      <rPr>
        <b/>
        <sz val="14"/>
        <color rgb="FFFF0000"/>
        <rFont val="Calibri"/>
        <family val="2"/>
        <charset val="204"/>
        <scheme val="minor"/>
      </rPr>
      <t xml:space="preserve"> среднегодовое</t>
    </r>
    <r>
      <rPr>
        <b/>
        <sz val="14"/>
        <color theme="1"/>
        <rFont val="Calibri"/>
        <family val="2"/>
        <charset val="204"/>
        <scheme val="minor"/>
      </rPr>
      <t xml:space="preserve"> изменение индекса за весь период.</t>
    </r>
  </si>
  <si>
    <r>
      <t xml:space="preserve">5.2.1.85. (4 балла). По состоянию на 01.01.2017 г. линия по производству пряников состоит из тестомесильного блока, формовочно-выпечной машины и упаковочной части. Тестомесильный блок был куплен 3 года назад за 200 тыс. руб. с НДС (НДС 18%) с износом 60%, эффективный возраст был 5 лет, сразу был проведён ремонт, который сократил эффективный возраст на 2 года. Новая формовочно-выпечная машина куплена 2 года назад взамен неисправной, поставлена на баланс по балансовой стоимости 200 тыс.руб., срок службы 6 лет, из-за условий эксплуатации износ машины в 1,5 раза выше обычного. Текущая рыночная стоимость упаковочной линии - 300 тыс. руб. с НДС, эффективный возраст 4 года, остаточный 7 лет. Ежегодный прирост цен 10%. Износ начисляется линейно, функциональное и внешнее устаревание не выявлено. Рассчитать </t>
    </r>
    <r>
      <rPr>
        <b/>
        <sz val="14"/>
        <color rgb="FFFF0000"/>
        <rFont val="Calibri"/>
        <family val="2"/>
        <charset val="204"/>
        <scheme val="minor"/>
      </rPr>
      <t>прогнозный износ в процентах на дату 01.01.2018</t>
    </r>
    <r>
      <rPr>
        <b/>
        <sz val="14"/>
        <color theme="1"/>
        <rFont val="Calibri"/>
        <family val="2"/>
        <charset val="204"/>
        <scheme val="minor"/>
      </rPr>
      <t>.</t>
    </r>
  </si>
  <si>
    <r>
      <t xml:space="preserve">5.2.1.86. (4 балла). По состоянию на дату 01.01.2018 известно следующее: линия по производству пряников состоит из тестомесильного блока, формовочно-выпечной машины и упаковочной части. Тестомесильный блок был куплен 3 года назад за 200 тыс. руб. с НДС (НДС 18%) с износом 60%, эффективный возраст был 5 лет, сразу был проведён ремонт, который сократил эффективный возраст на 2 года. Новая формовочно-выпечная машина куплена 2 года назад взамен неисправной, поставлена на баланс по балансовой стоимости 200 тыс.руб., срок службы 12 лет, но из-за некачественного сырья износ машины в 1,5 раза выше обычного. Текущая рыночная стоимость упаковочной линии - 300 тыс. руб. с НДС, эффективный возраст 4 года, остаточный - 7 лет. Ежегодный прирост цен 10%. Износ начисляется линейно, функциональное и внешнее устаревание не выявлено. Рассчитать </t>
    </r>
    <r>
      <rPr>
        <b/>
        <sz val="14"/>
        <color rgb="FFFF0000"/>
        <rFont val="Calibri"/>
        <family val="2"/>
        <charset val="204"/>
        <scheme val="minor"/>
      </rPr>
      <t>стоимость линии (с НДС) на текущую дату</t>
    </r>
    <r>
      <rPr>
        <b/>
        <sz val="14"/>
        <color theme="1"/>
        <rFont val="Calibri"/>
        <family val="2"/>
        <charset val="204"/>
        <scheme val="minor"/>
      </rPr>
      <t>.</t>
    </r>
  </si>
  <si>
    <r>
      <t xml:space="preserve">5.2.1.87. Индекс цен с 01.01.2010 года по 01.01.2013 года равен 0,85, с 01.01.2013 года по 01.01.2015 года цены выросли на 110%, с 01.01.2015 года по 01.01.2018 года уменьшились в 1,4 раза. Найти среднегодовое изменение цен </t>
    </r>
    <r>
      <rPr>
        <b/>
        <sz val="14"/>
        <color rgb="FFFF0000"/>
        <rFont val="Calibri"/>
        <family val="2"/>
        <charset val="204"/>
        <scheme val="minor"/>
      </rPr>
      <t>с 01.01.2018 по 01.01.2010</t>
    </r>
  </si>
  <si>
    <t>"Переворачиваем" индекс</t>
  </si>
  <si>
    <r>
      <t>Корень 8-й степени из индекса 20</t>
    </r>
    <r>
      <rPr>
        <b/>
        <i/>
        <sz val="14"/>
        <color rgb="FFFF0000"/>
        <rFont val="Calibri"/>
        <family val="2"/>
        <charset val="204"/>
        <scheme val="minor"/>
      </rPr>
      <t>18</t>
    </r>
    <r>
      <rPr>
        <i/>
        <sz val="14"/>
        <color rgb="FFFF0000"/>
        <rFont val="Calibri"/>
        <family val="2"/>
        <charset val="204"/>
        <scheme val="minor"/>
      </rPr>
      <t>-20</t>
    </r>
    <r>
      <rPr>
        <b/>
        <i/>
        <sz val="14"/>
        <color rgb="FFFF0000"/>
        <rFont val="Calibri"/>
        <family val="2"/>
        <charset val="204"/>
        <scheme val="minor"/>
      </rPr>
      <t>10</t>
    </r>
  </si>
  <si>
    <r>
      <t xml:space="preserve">5.2.1.89. Определить рыночную стоимость отрезного </t>
    </r>
    <r>
      <rPr>
        <b/>
        <sz val="14"/>
        <color rgb="FFFF0000"/>
        <rFont val="Calibri"/>
        <family val="2"/>
        <charset val="204"/>
        <scheme val="minor"/>
      </rPr>
      <t>ножовочного</t>
    </r>
    <r>
      <rPr>
        <b/>
        <sz val="14"/>
        <color theme="1"/>
        <rFont val="Calibri"/>
        <family val="2"/>
        <charset val="204"/>
        <scheme val="minor"/>
      </rPr>
      <t xml:space="preserve"> станка с характеристиками: максимальный диаметр заготовки 300 мм, мощность 2,2 кВт. Стоимость замещения для аналогичных станков описывается регрессионно-корреляционной зависимостью у = 3242 * Х1^0,4 * Х2^0,7 * X3^0,2, где Х1- диаметр в мм, Х2 – мощность в кВт, X3 — коэффициент вида станка (Кв). Износ 43 %. Коэффициент Кв равен: 1 - для токарного станка, </t>
    </r>
    <r>
      <rPr>
        <b/>
        <sz val="14"/>
        <color rgb="FFFF0000"/>
        <rFont val="Calibri"/>
        <family val="2"/>
        <charset val="204"/>
        <scheme val="minor"/>
      </rPr>
      <t>2 – для ножовочного</t>
    </r>
    <r>
      <rPr>
        <b/>
        <sz val="14"/>
        <color theme="1"/>
        <rFont val="Calibri"/>
        <family val="2"/>
        <charset val="204"/>
        <scheme val="minor"/>
      </rPr>
      <t xml:space="preserve"> станка , 3 - для сверлильного станка.</t>
    </r>
  </si>
  <si>
    <r>
      <t xml:space="preserve">5.2.1.90. 4 (балла). По состоянию на дату 01.01.2018 известно следующее: линия по производству пряников состоит из тестомесильного блока, формовочно-выпечной машины и упаковочной части. Тестомесильный блок был куплен 3 года назад за 200 тыс. руб. с НДС (НДС 18%) с износом 60%, эффективный возраст был 5 лет, сразу был проведён ремонт, который сократил эффективный возраст на 2 года. Новая формовочно-выпечная машина куплена 2 года назад взамен неисправной, поставлена на баланс по балансовой стоимости 200 тыс.руб., срок службы 12 лет, но из-за некачественного сырья износ машины в 1,5 раза выше обычного. Текущая рыночная стоимость упаковочной линии - 300 тыс. руб. с НДС, эффективный возраст 4 года, остаточный - 7 лет. Ежегодный прирост цен 10%. Износ начисляется линейно, функциональное и внешнее устаревание не выявлено. Рассчитать </t>
    </r>
    <r>
      <rPr>
        <b/>
        <sz val="14"/>
        <color rgb="FFFF0000"/>
        <rFont val="Calibri"/>
        <family val="2"/>
        <charset val="204"/>
        <scheme val="minor"/>
      </rPr>
      <t>износ линии (с НДС) на 01.01.2017</t>
    </r>
    <r>
      <rPr>
        <b/>
        <sz val="14"/>
        <color theme="1"/>
        <rFont val="Calibri"/>
        <family val="2"/>
        <charset val="204"/>
        <scheme val="minor"/>
      </rPr>
      <t>.</t>
    </r>
  </si>
  <si>
    <r>
      <t xml:space="preserve">Стоимость нового </t>
    </r>
    <r>
      <rPr>
        <b/>
        <sz val="14"/>
        <color rgb="FFFF0000"/>
        <rFont val="Calibri"/>
        <family val="2"/>
        <charset val="204"/>
        <scheme val="minor"/>
      </rPr>
      <t>за год до</t>
    </r>
    <r>
      <rPr>
        <sz val="14"/>
        <color theme="1"/>
        <rFont val="Calibri"/>
        <family val="2"/>
        <charset val="204"/>
        <scheme val="minor"/>
      </rPr>
      <t>, с НДС</t>
    </r>
  </si>
  <si>
    <t>Административное здание</t>
  </si>
  <si>
    <t>Операционные</t>
  </si>
  <si>
    <t>Неспециализированные</t>
  </si>
  <si>
    <t>Производственное здание</t>
  </si>
  <si>
    <t>Автопарк</t>
  </si>
  <si>
    <t>5.2.1.78. (4 балла). Определить рыночную стоимость специализированной линии по производству чугунных заготовок на 01.01.2018 для залога без учета НДС.
Известны следующие данные об имуществе завода по производству чугунных изделий:
1. Рыночная стоимость административного здания заводоуправления площадью 2000 кв.м, расположенного на обособленном участке земли площадью 0,4 га, - 65 млн руб. без учета НДС.
2. Рыночная стоимость производственного здания площадью 20000 кв.м, расположенного на обособленном участке земли площадью 12 га, - 180 млн руб. без учета НДС.
3. Рыночная стоимость автотранспортного парка, обслуживающего завод - 35 млн руб. без учета НДС. 
4. Линия по подготовке заготовок для производства чугунных изделий. Полная восстановительная стоимость 75 млн руб. без НДС. Срок службы 15 лет. Эффективный возраст 7 лет.
5. В составе имущества завода есть пансионат на Черном море стоимостью рыночной стоимостью 185 млн руб. с НДС.
6. Прочие активы. Все прочие активы являются специализированными и задействованы в производстве продукции предприятия. Затраты на замещение как новых данных прочих активов по состоянию на дату оценки составляет 540 млн руб. (без НДС). Физический износ 20% активов (в стоимостном выражении) составляет 20%, 30 % активов – 30%, 50% активов – 50%.
Оцениваемая линия приобретена и установлена в начале 2013 г. Первоначальная стоимость 110 млн руб.(без НДС). Нормативный срок службы 15 лет. Износ начисляется линейно. Остаточный срок службы 11 лет. Индекс изменения стоимости аналогичного оборудования с 01.01.2001 по 01.01.2018 равен 12,4, индекс с 01.01.2001 по 01.01.2013 – 15,6.
Стоимость операционного имущества завода в рамках доходного подхода по состоянию на дату оценки составляет 600 млн руб.(без НДС).</t>
  </si>
  <si>
    <t>Линия подготовки заготовок</t>
  </si>
  <si>
    <t>Специализированные</t>
  </si>
  <si>
    <t>ПВС</t>
  </si>
  <si>
    <t>Срок службы</t>
  </si>
  <si>
    <t>Пансионат</t>
  </si>
  <si>
    <t>Неоперационные</t>
  </si>
  <si>
    <t>Прочие</t>
  </si>
  <si>
    <t>Объект оценки</t>
  </si>
  <si>
    <t>лет</t>
  </si>
  <si>
    <t>год</t>
  </si>
  <si>
    <t>Остаточный срок службы</t>
  </si>
  <si>
    <t>Индекс 2001-2018</t>
  </si>
  <si>
    <t>Индекс 2001-2013</t>
  </si>
  <si>
    <t>Опер. имущество по доходному</t>
  </si>
  <si>
    <t>РЕШЕНИЕ:</t>
  </si>
  <si>
    <t>РС всех неспециализированных</t>
  </si>
  <si>
    <t>РС линии подготовки заготовок</t>
  </si>
  <si>
    <t>РС прочих специализир. активов</t>
  </si>
  <si>
    <t>РС объекта оценки без внешнего износа</t>
  </si>
  <si>
    <t>Индекс меньше единицы!</t>
  </si>
  <si>
    <t>РС всех специализированных</t>
  </si>
  <si>
    <t>РС всех специализир. из доходного</t>
  </si>
  <si>
    <t>Стоимость всех операц. активов по доходному за вычетом стоимости всех неспециализированных</t>
  </si>
  <si>
    <t>РС объекта оценки</t>
  </si>
  <si>
    <t>Из рыночной стоимости без учета внешнего обесценения вычитаем внешнее обесценение</t>
  </si>
  <si>
    <t>ПВС на дату покупки умножаем на индекс и вычитаем оба износа</t>
  </si>
  <si>
    <t>Нормативный срок службы за вычетом остаточного</t>
  </si>
  <si>
    <t>ЭВ/Срок службы</t>
  </si>
  <si>
    <t>(ПВС 2013) х (индекс 2013-2018)</t>
  </si>
  <si>
    <t>Линия подготовки заготовок + Прочие специализир. Активы + Объект оценки без внешнего обесценения</t>
  </si>
  <si>
    <t>Доля1 х Износ1 + Доля2 х Износ2 + Доля3 х Износ3</t>
  </si>
  <si>
    <t>Затраты на 2007 год</t>
  </si>
  <si>
    <t>Индекс 200х - 2007</t>
  </si>
  <si>
    <t>Индекс 200х - 2017</t>
  </si>
  <si>
    <t>Лишние данные. Износ считать не надо.</t>
  </si>
  <si>
    <t>Стоимость воспроизводства на 2017</t>
  </si>
  <si>
    <t>Мощность буксира</t>
  </si>
  <si>
    <t>Износ объекта оценки</t>
  </si>
  <si>
    <t>Стоимость 1 квт</t>
  </si>
  <si>
    <t>Определить ЗАТРАТНЫМ подходом!</t>
  </si>
  <si>
    <t>5.2.1.93. 4 балла. По состоянию на дату 01.01.2018 известно следующее: линия по производству пряников состоит из тестомесильного блока, формовочно-выпечной машины и упаковочной части. Тестомесильный блок был куплен 3 года назад за 200 тыс. руб. с НДС с износом 60%, эффективный возраст был 5 лет, сразу был проведён ремонт, который сократил эффективный возраст на 2 года. Новая формовочно-выпечная машина куплена 2 года назад взамен неисправной, поставлена на баланс по балансовой стоимости 200 тыс.руб., срок службы 12 лет, но из-за некачественного сырья износ машины в 1,5 раза выше обычного. Текущая рыночная стоимость упаковочной линии - 300 тыс. руб., эффективный возраст 4 года, остаточный - 7 лет. Ежегодный прирост цен 10%. Износ начисляется линейно, функциональное и внешнее устаревание не выявлено. Рассчитать износ линии на 01.01.2017.</t>
  </si>
  <si>
    <t>5.2.1.94. 4 балла. Определить экономическое устаревание специализированной линии по производству чугунных заготовок на 01.01.2018.
Известны следующие данные об имуществе завода по производству чугунных изделий:
1. Рыночная стоимость административного здания заводоуправления площадью 2000 кв.м, расположенного на обособленном участке земли площадью 0,4 га, - 65 млн руб. без учета НДС.
2. Рыночная стоимость производственного здания площадью 20000 кв.м, расположенного на обособленном участке земли площадью 12 га, - 180 млн руб. без учета НДС.
3. Рыночная стоимость автотранспортного парка, обслуживающего завод - 35 млн руб. без учета НДС. 
4. Линия по подготовке заготовок для производства чугунных изделий. Полная восстановительная стоимость 75 млн руб. без НДС. Срок службы 15 лет. Эффективный возраст 7 лет.
5. В составе имущества завода есть пансионат на Черном море стоимостью рыночной стоимостью 185 млн руб. с НДС.
6. Прочие активы. Все прочие активы являются специализированными и задействованы в производстве продукции предприятия. Затраты на замещение как новых данных прочих активов по состоянию на дату оценки составляет 540 млн руб. (без НДС). Физический износ 20% активов (в стоимостном выражении) составляет 20%, 30 % активов – 30%, 50% активов – 50%.
Оцениваемая линия приобретена и установлена в начале 2013 г. Первоначальная стоимость 110 млн руб.(без НДС). Нормативный срок службы 15 лет. Износ начисляется линейно. Остаточный срок службы 11 лет. Индекс изменения стоимости аналогичного оборудования с 01.01.2001 по 01.01.2018 равен 12,4, индекс с 01.01.2001 по 01.01.2013 – 15,6.
Стоимость операционного имущества завода в рамках доходного подхода по состоянию на дату оценки составляет 600 млн руб.(без НДС).</t>
  </si>
  <si>
    <t>5.2.1.95. Найти стоимость оборудования, если известно следующее:
Стоимость нового оборудования - 30 млн руб. Возраст оборудования - 10 лет. Нормативный срок - 30 лет. Стоимость для аналогичных объектов описывается следующей зависимостью: С=Сн*е-0,04х, где С-рыночная стоимость, Сн-стоимость нового, х-возраст объекта.</t>
  </si>
  <si>
    <t>Возраст</t>
  </si>
  <si>
    <t>Нормативный срок</t>
  </si>
  <si>
    <t>5.2.1.96. Затраты на воспроизводство производственного модуля составляют 140 тыс. руб. Эффективный возраст модуля 8 лет, срок жизни 12 лет. Экономическое и функциональное устаревания отсутствуют. Чему равна рыночная стоимость модуля, если физический износ оценщиком рассчитывался линейным способом?</t>
  </si>
  <si>
    <t>5.2.1.97. Затраты на воспроизводство промышленного конвейера составляют 5 000 000 рублей без НДС. Рассчитайте стоимость конвейера в рублях, если известно, что его физический износ - 20%, функциональное устаревание - 10%, экономическое устаревание - 30%. Совокупный износ определяется по мультипликативной модели.</t>
  </si>
  <si>
    <t>5.2.1.98. Новая линия, состоящая из блока А и Б, установлена в здании. Рыночная стоимость имущественного комплекса 1 млрд руб., рыночная стоимость здания – 350 млн руб. Стоимость несмонтированного блока А – 250 млн руб., несмонтированного блока Б – 350 млн руб., затраты на монтаж 30%, затраты на демонтаж 50%. Определить рыночную стоимость действующего блока А при дальнейшем функционировании линии.</t>
  </si>
  <si>
    <t>РС имущественного комплекса</t>
  </si>
  <si>
    <t>РС здания</t>
  </si>
  <si>
    <t>Несмонтированный блок А</t>
  </si>
  <si>
    <t>Несмонтированный блок Б</t>
  </si>
  <si>
    <t>Стоимость линии без внешнего износа</t>
  </si>
  <si>
    <t>Лишние данные.</t>
  </si>
  <si>
    <t>Блок А с затратами на монтаж</t>
  </si>
  <si>
    <t>Или</t>
  </si>
  <si>
    <t>Стоимость действующего блока А</t>
  </si>
  <si>
    <t>Стоимость затратным подходом</t>
  </si>
  <si>
    <t>РС административного здания</t>
  </si>
  <si>
    <t>Площадь</t>
  </si>
  <si>
    <t>Ставка аренды</t>
  </si>
  <si>
    <t>в год</t>
  </si>
  <si>
    <t>Операционные расходы</t>
  </si>
  <si>
    <r>
      <t xml:space="preserve">от </t>
    </r>
    <r>
      <rPr>
        <sz val="14"/>
        <color rgb="FFFF0000"/>
        <rFont val="Calibri"/>
        <family val="2"/>
        <charset val="204"/>
        <scheme val="minor"/>
      </rPr>
      <t>ДВД</t>
    </r>
  </si>
  <si>
    <t>Она же норма доходности инвестиций</t>
  </si>
  <si>
    <t>ОСЭЖ</t>
  </si>
  <si>
    <t>Стоимость ЗУ</t>
  </si>
  <si>
    <t>Производительность аналога выше на</t>
  </si>
  <si>
    <t>СК</t>
  </si>
  <si>
    <t>РС ОКС</t>
  </si>
  <si>
    <t>Стоимость здания</t>
  </si>
  <si>
    <t>РС ЕОН</t>
  </si>
  <si>
    <t>Стоимость здания + ЗУ</t>
  </si>
  <si>
    <t>Производительность объекта оценки</t>
  </si>
  <si>
    <t>ОА дороже ОО на 10%</t>
  </si>
  <si>
    <t>ПВС на дату покупки умножаем на индекс и вычитаем ТРИ износа</t>
  </si>
  <si>
    <t>В этой модификации задачи есть функциональное устаревание</t>
  </si>
  <si>
    <t>5.2.1.100. Индекс цен с 1.1.2010 года по 1.1.2013 года равен 0,85, с 1.1.2013 года по 1.1.2015 года цены выросли на 110%, с 1.1.2015 года по 1.1.2018 года уменьшились в 1,4 раза. Найти среднемесячное изменение цен с 1.1.2018 по 1.1.2010.</t>
  </si>
  <si>
    <r>
      <t>Корень 96-й степени из индекса 20</t>
    </r>
    <r>
      <rPr>
        <b/>
        <i/>
        <sz val="14"/>
        <color rgb="FFFF0000"/>
        <rFont val="Calibri"/>
        <family val="2"/>
        <charset val="204"/>
        <scheme val="minor"/>
      </rPr>
      <t>18</t>
    </r>
    <r>
      <rPr>
        <i/>
        <sz val="14"/>
        <color rgb="FFFF0000"/>
        <rFont val="Calibri"/>
        <family val="2"/>
        <charset val="204"/>
        <scheme val="minor"/>
      </rPr>
      <t>-20</t>
    </r>
    <r>
      <rPr>
        <b/>
        <i/>
        <sz val="14"/>
        <color rgb="FFFF0000"/>
        <rFont val="Calibri"/>
        <family val="2"/>
        <charset val="204"/>
        <scheme val="minor"/>
      </rPr>
      <t>10</t>
    </r>
  </si>
  <si>
    <t>5.2.1.101. Оцениваемый объект обслуживают два работника. Для обслуживания современной аналогичной линии требуется 1 работник. Определить функциональное устаревание оцениваемой линии.
Зарплата одного работника объекта оценки – 5 000 руб. в месяц.
Зарплата работника объекта-аналога – 8 000 руб. в месяц.
Отчисления с ЗП составляют 35,6%. Хронологический возраст 17 лет, нормативный срок службы 20 лет. Известно, что специалисты определили оставшийся срок жизни линии — 5 лет. Ставка капитализации 31,7%. Дисконтирование производится на конец каждого месяца. Эффект от разницы налога на прибыль не учитывать.</t>
  </si>
  <si>
    <t>Зарплата работника объекта оценки</t>
  </si>
  <si>
    <t>Зарплата работника аналога</t>
  </si>
  <si>
    <t>Ставка в месяц</t>
  </si>
  <si>
    <t>Задача НЕОДНОЗНАЧНАЯ. Решение - ТОЖЕ. Обратите внимание на задачу 5.2.1.56</t>
  </si>
  <si>
    <t>5.2.1.102. Оборудование куплено в новом состоянии в 2013 г. Срок экономической жизни 15 лет. Оставшийся срок жизни 13 лет. Найти эффективный возраст оборудования на 2017 г.</t>
  </si>
  <si>
    <t>5.2.1.103. Стоимость нового резервуара емкостью 120 куб. м - 190000 руб., а резервуара емкостью 250 куб. м - 270000 руб. Затраты на доставку 15000 рублей. Стоимость монтажа 30% без учета доставки. Оценить стоимость резервуара емкостью 170 куб.м с учетом всех видов устареваний. Фактический возраст - 7 лет. Нормативный срок службы - 15 лет. Эксперт оценил оставшийся срок жизни: 9 лет. Функциональный износ 20%.</t>
  </si>
  <si>
    <t>Фактический возраст</t>
  </si>
  <si>
    <t>(Срок службы - Оставшийся срок жизни) / Срок службы = Эффективный возраст / Срок службы</t>
  </si>
  <si>
    <t>Износ аналога меньше, он дороже, корректировка понижающая</t>
  </si>
  <si>
    <t>Будет ошибкой разделить износ объекта оценки на износ аналога</t>
  </si>
  <si>
    <t>5.2.3.24. Определить норму возврата капитала методом Ринга. Хронологический возраст 6 лет. Нормативный срок службы 10 лет. Доходность инвестиций 15%. Безрисковая ставка 9%.</t>
  </si>
  <si>
    <t>Доходность инвестиций</t>
  </si>
  <si>
    <t>В зависимости от предлагаемых вариантов ответа</t>
  </si>
  <si>
    <r>
      <rPr>
        <sz val="22"/>
        <color theme="1"/>
        <rFont val="Symbol"/>
        <family val="1"/>
        <charset val="2"/>
      </rPr>
      <t>®</t>
    </r>
    <r>
      <rPr>
        <i/>
        <sz val="22"/>
        <color theme="1"/>
        <rFont val="Calibri"/>
        <family val="2"/>
        <charset val="204"/>
      </rPr>
      <t xml:space="preserve"> Расчет коэффициента торможения</t>
    </r>
    <r>
      <rPr>
        <i/>
        <sz val="22"/>
        <color theme="1"/>
        <rFont val="Calibri"/>
        <family val="2"/>
        <charset val="204"/>
        <scheme val="minor"/>
      </rPr>
      <t>;</t>
    </r>
  </si>
  <si>
    <r>
      <rPr>
        <sz val="22"/>
        <color theme="1"/>
        <rFont val="Symbol"/>
        <family val="1"/>
        <charset val="2"/>
      </rPr>
      <t>®</t>
    </r>
    <r>
      <rPr>
        <i/>
        <sz val="22"/>
        <color theme="1"/>
        <rFont val="Calibri"/>
        <family val="2"/>
        <charset val="204"/>
      </rPr>
      <t xml:space="preserve"> Расчет относительных корректировок</t>
    </r>
    <r>
      <rPr>
        <i/>
        <sz val="22"/>
        <color theme="1"/>
        <rFont val="Calibri"/>
        <family val="2"/>
        <charset val="204"/>
        <scheme val="minor"/>
      </rPr>
      <t>;</t>
    </r>
  </si>
  <si>
    <t>РС сравнительным подходом</t>
  </si>
  <si>
    <t>5.2.1.6. (4 балла). Определить рыночную стоимость линии. Оценщик методом индексации первоначальной стоимости определил затраты на воспроизводство без учета износов в размере 20 млн.руб. Нормативный срок службы линии 20 лет. Хронологический возраст 6 лет. Эффективный возраст 8 лет. В ходе анализа Оценщик выявил, что новые аналогичные линии сейчас продаются по 19 000 000 руб., кроме того, они выполнены по новым технологиям из-за чего их производительность на 5% выше.
В рамках доходного подхода к оценке рыночная стоимость всех операционных активов предприятия определена в размере 2 млрд.руб. По затратному подходу к оценке рыночная стоимость всех специализированных операционных активов составляет 2,5 млрд.руб. Рыночная стоимость неспециализированных операционных активов составляет 150 млн.руб. Рыночная стоимость неоперационных активов 50 млн.руб.</t>
  </si>
  <si>
    <t>5.2.1.91. По состоянию на 2007 год предприятие поставило на баланс новый станок, не требующий монтажа, за 5000 руб. со сроком службы 16 лет. Рассчитайте стоимость воспроизводства (с учетом всех затрат) по состоянию на 2017 год. Индексы изменения стоимости оборудования к 200х году:
2006 - 1,005;  2007 - 1,015;  2008 - 1,028;  2009 - 1,052;  2010 - 1,083;  2011 - 1,097;  2012 - 1,120;  2013 - 1,144;  2014 - 1,159;  2015 - 1,184;  2016 - 1,211;  
2017 - 1,218;  2019 - 1,228.</t>
  </si>
  <si>
    <r>
      <t xml:space="preserve">5.2.2.3. Определить </t>
    </r>
    <r>
      <rPr>
        <b/>
        <sz val="14"/>
        <color rgb="FFFF0000"/>
        <rFont val="Calibri"/>
        <family val="2"/>
        <charset val="204"/>
        <scheme val="minor"/>
      </rPr>
      <t>сравнительным</t>
    </r>
    <r>
      <rPr>
        <b/>
        <sz val="14"/>
        <color theme="1"/>
        <rFont val="Calibri"/>
        <family val="2"/>
        <charset val="204"/>
        <scheme val="minor"/>
      </rPr>
      <t xml:space="preserve"> подходом рыночную стоимость буксира, мощностью Р 1500. Износ у объекта оценки 70%, стоимость нового - 
30 000 000 рублей. Оценщик анализом рынка со всеми корректировками на отличие определил, что 1 квт стоит 5 000 рублей.</t>
    </r>
  </si>
  <si>
    <t>5.2.2.4. Компания А оказывает услуги по монтажу оборудования компании Б. Так как компания А является дочерней компании Б, она получает обычно скидку 20%. В данном случае скидка составила 7%. Какой индивидуальный коэффициент на условия продажи следует использовать при расчете рыночной стоимости оборудования?</t>
  </si>
  <si>
    <t>Ни та, ни другая скидка не являются рыночными данными. Ответ - 0.</t>
  </si>
  <si>
    <t>Не перепутайте что на что делить. Проверьте себя.</t>
  </si>
  <si>
    <r>
      <t xml:space="preserve">5.2.2.9. Объект приобретен новым в 2007 году за 200 000 руб. Устройство фундамента и монтаж оборудования составили 30% </t>
    </r>
    <r>
      <rPr>
        <b/>
        <sz val="14"/>
        <color rgb="FFFF0000"/>
        <rFont val="Calibri"/>
        <family val="2"/>
        <charset val="204"/>
        <scheme val="minor"/>
      </rPr>
      <t>от цены оборудования</t>
    </r>
    <r>
      <rPr>
        <b/>
        <sz val="14"/>
        <color theme="1"/>
        <rFont val="Calibri"/>
        <family val="2"/>
        <charset val="204"/>
        <scheme val="minor"/>
      </rPr>
      <t>. Рост цен на СМР к дате оценки составил 1,2. Затраты на демонтаж 50% от затрат на устройство фундамента и монтаж. Оплата услуг брокера (организатора торгов) 5%. Сколько выручит продавец в январе 2018 года (с учетом оплаты услуг брокеру) при условии, что аналоги подготовлены к продаже?</t>
    </r>
  </si>
  <si>
    <t>5.2.2.10. Оценщиком на основе анализа рынка выведена модель ценообразования: С = 800 - 2 х R где R это грузоподъемность тельфера. Данная зависимость определена при анализе грузоподъемности от 1 до 5 тонн. Определить рыночную стоимость тельфера грузоподъемностью 90 тонн.</t>
  </si>
  <si>
    <t>Зависимость обратная</t>
  </si>
  <si>
    <t>5.2.2.15. В январе 2007 года предприятие приобрело оборудование за 200 000 руб. Монтаж и пуско-наладка – 20 000 руб., на фундамент под оборудование – 10 000 руб. Определить в рамках сравнительного подхода (выбрав наиболее близкие аналоги и рассчитав среднюю арифметическую стоимость), какую сумму предприятие сможет выручить за свое бывшее в эксплуатации оборудование в январе 2017 года (за вычетом затрат на оплату услуг брокера). Стоимость демонтажа составляет 20% от стоимости затрат на проведение монтажа, устройство фундамента и пусконаладочных работ. Стоимость затрат на проведение монтажа, устройство фундамента и пусконаладочных работ на момент оценки увеличилась на 30% с момента приобретения. Нормативный срок службы оборудования 15 лет. Услуги брокера по продаже 5000 руб. Аналоги подготовлены к продаже. На рынке найдены аналоги, из которых необходимо выбрать наиболее близкие:</t>
  </si>
  <si>
    <t>5.2.2.17. (4 балла). Стоимость контракта на поставку оборудования и его последующий монтаж и наладку составляет 1 000 000 дол. (с учетом НДС). Определите стоимость оборудования на условиях EXW (франко-завод продавца) без учета НДС, если известно, что стоимость доставки составляет 50 000 дол. (с НДС), затраты на монтаж и наладку составляют 150 000 дол. (с НДС), величина таможенной пошлины 20%, оборудование не имеет льгот по НДС и облагается по ставке 18%, таможенные сборы и пошлины начисляются только на оборудование.</t>
  </si>
  <si>
    <r>
      <rPr>
        <sz val="22"/>
        <color theme="1"/>
        <rFont val="Symbol"/>
        <family val="1"/>
        <charset val="2"/>
      </rPr>
      <t>®</t>
    </r>
    <r>
      <rPr>
        <i/>
        <sz val="22"/>
        <color theme="1"/>
        <rFont val="Calibri"/>
        <family val="2"/>
        <charset val="204"/>
      </rPr>
      <t xml:space="preserve"> Внимательно к НДС (к учёту и ставке)</t>
    </r>
    <r>
      <rPr>
        <i/>
        <sz val="22"/>
        <color theme="1"/>
        <rFont val="Calibri"/>
        <family val="2"/>
        <charset val="204"/>
        <scheme val="minor"/>
      </rPr>
      <t>;</t>
    </r>
  </si>
  <si>
    <r>
      <t>5.2.2.20. Определить рыночную стоимость станка в г. Самаре без учета НДС. Поставка произведена</t>
    </r>
    <r>
      <rPr>
        <b/>
        <sz val="14"/>
        <color rgb="FFFF0000"/>
        <rFont val="Calibri"/>
        <family val="2"/>
        <charset val="204"/>
        <scheme val="minor"/>
      </rPr>
      <t xml:space="preserve"> на условиях DDP</t>
    </r>
    <r>
      <rPr>
        <b/>
        <sz val="14"/>
        <color theme="1"/>
        <rFont val="Calibri"/>
        <family val="2"/>
        <charset val="204"/>
        <scheme val="minor"/>
      </rPr>
      <t xml:space="preserve"> (включает таможенное оформление, доставку и монтаж). Сумма контракта 360 000 евро (без учета НДС) Станок был приобретен во Франции. Индекс цен на аналогичное оборудование в еврозоне за период с 01.01.1999 по 10.02.2004 составил 1,54, а в период с 10.01.1999 по 15.10.2016 – 2,12. Дата поставки –10.02.2004. Дата оценки – 15.10.2016. Импортная пошлина составляет 10%. экспортная пошлина 12%. Затраты на доставку и монтаж составляют 20%. Курс евро на 10.02.2004 составлял 35,10 руб./евро, а на 15.10.2016 – 70,18 руб./евро. Округлить до миллионов.</t>
    </r>
  </si>
  <si>
    <t>В задаче много лишних данных. Внимательно к условиям поставки!</t>
  </si>
  <si>
    <t>Производительность, ед.</t>
  </si>
  <si>
    <t>Аналог 1</t>
  </si>
  <si>
    <t>Аналог 2</t>
  </si>
  <si>
    <t>Аналог 3</t>
  </si>
  <si>
    <t>Аналог 4</t>
  </si>
  <si>
    <t>Аналог 5</t>
  </si>
  <si>
    <t>Аналог 6</t>
  </si>
  <si>
    <r>
      <t xml:space="preserve">5.2.2.21. Оценщик в 2017 году проводит оценку оборудования с производительностью 8 000 ед., 2003 года выпуска. Известно, что данное оборудование имеет срок службы 14 лет, но перед датой оценки был произведен капитальный ремонт, после чего </t>
    </r>
    <r>
      <rPr>
        <b/>
        <sz val="14"/>
        <color rgb="FFFF0000"/>
        <rFont val="Calibri"/>
        <family val="2"/>
        <charset val="204"/>
        <scheme val="minor"/>
      </rPr>
      <t>срок оставшейся жизни для данного оборудования составил 2 года</t>
    </r>
    <r>
      <rPr>
        <b/>
        <sz val="14"/>
        <color theme="1"/>
        <rFont val="Calibri"/>
        <family val="2"/>
        <charset val="204"/>
        <scheme val="minor"/>
      </rPr>
      <t>. Выберите подходящий аналог из представленных в таблице для расчета рыночной стоимости объекта оценки в рамках сравнительного подхода. Известно, что капитальный ремонт найденных объектов-аналогов не производился. Для расчета износа используйте хронологический возраст.</t>
    </r>
  </si>
  <si>
    <t>Красным отмечены причины отбраковки аналогов</t>
  </si>
  <si>
    <t>5.2.2.22. Оценить гидравлическую тележку грузоподъемностью 1 т с протяженностью рельсов 12 п.м. Для расчета использовать корректировку на длину 1 п.м. рельсов. Аналоги - гидравлическая тележка грузоподъемностью 1 т с протяженностью рельсов 5 п.м., цена 40 000 руб. и гидравлическая тележка грузоподъемностью 1 т с протяженностью рельсов 15 п.м., цена 49 000 руб.</t>
  </si>
  <si>
    <t>Вклад в стоимость 1 п.м. рельсов</t>
  </si>
  <si>
    <t>Стоимость = Цена аналога + Разнице в длине рельсов (ОО-ОА) * Вклад в стоимость 1 п.м. рельсов</t>
  </si>
  <si>
    <t>5.2.2.25. (4 балла). Определить рыночную стоимость несмонтированного емкостного оборудования (без НДС) по состоянию на июнь 2016 г. по приведённым аналогам. Характеристики оцениваемого объекта: 1991 года выпуска; в удовлетворительном состоянии; из нержавеющей стали; массой 8 т; произведен в России. Указанные далее аналоги считать равноценными. Аналоги демонтированы, продаются со склада. Величиной прочих затрат в целях данной задачи пренебречь. Найденные предложения на рынке</t>
  </si>
  <si>
    <r>
      <t xml:space="preserve">5.2.2.28. (4 балла). Определить рыночную стоимость несмонтированного емкостного оборудования по состоянию на Июнь 2016 г. по приведенным аналогам (с НДС). Характеристики оцениваемого объекта: 1999 года выпуска, состояние - отличное, материал - углеродистая сталь, масса - 7 тонн, производство - Европа. Указанные аналоги считать равноценными. Аналоги демонтированы, продаются со склада. Величиной прочих затрат </t>
    </r>
    <r>
      <rPr>
        <b/>
        <sz val="14"/>
        <color rgb="FFFF0000"/>
        <rFont val="Calibri"/>
        <family val="2"/>
        <charset val="204"/>
        <scheme val="minor"/>
      </rPr>
      <t>и различием в годах выпуска в целях данной задачи пренебречь</t>
    </r>
    <r>
      <rPr>
        <b/>
        <sz val="14"/>
        <color theme="1"/>
        <rFont val="Calibri"/>
        <family val="2"/>
        <charset val="204"/>
        <scheme val="minor"/>
      </rPr>
      <t>. Найденные предложения на рынке:</t>
    </r>
  </si>
  <si>
    <t>Понижающая! ОО нужен ремонт - он дешевле.</t>
  </si>
  <si>
    <r>
      <t xml:space="preserve">5.2.2.31. Станок для обработки заготовки 500 мм стоит на 30% дороже станка для обработки заготовки 350 мм. Рассчитайте </t>
    </r>
    <r>
      <rPr>
        <b/>
        <sz val="14"/>
        <color rgb="FFFF0000"/>
        <rFont val="Calibri"/>
        <family val="2"/>
        <charset val="204"/>
        <scheme val="minor"/>
      </rPr>
      <t>процентную</t>
    </r>
    <r>
      <rPr>
        <b/>
        <sz val="14"/>
        <color theme="1"/>
        <rFont val="Calibri"/>
        <family val="2"/>
        <charset val="204"/>
        <scheme val="minor"/>
      </rPr>
      <t xml:space="preserve"> поправку к цене аналога (станок для обработки заготовки 500 мм), если объектом оценки является станок для обработки заготовки 350 мм.</t>
    </r>
  </si>
  <si>
    <r>
      <t xml:space="preserve">5.2.2.32. Аналог - станок с износом 40%. Определите </t>
    </r>
    <r>
      <rPr>
        <b/>
        <sz val="14"/>
        <color rgb="FFFF0000"/>
        <rFont val="Calibri"/>
        <family val="2"/>
        <charset val="204"/>
        <scheme val="minor"/>
      </rPr>
      <t>корректирующий коэффициент</t>
    </r>
    <r>
      <rPr>
        <b/>
        <sz val="14"/>
        <color theme="1"/>
        <rFont val="Calibri"/>
        <family val="2"/>
        <charset val="204"/>
        <scheme val="minor"/>
      </rPr>
      <t xml:space="preserve"> для определения стоимости станка с износом 50%.</t>
    </r>
  </si>
  <si>
    <t>Ответ - Аналог №3</t>
  </si>
  <si>
    <r>
      <t xml:space="preserve">5.2.2.33. Из представленных 6 аналогов выбрать единственный подходящий. Объект оценки - насос, производительностью 8000 куб./м в час, производства 2003 г. Нормативный срок жизни насоса 14 лет. Определить рыночную стоимость на 2017 год, зная, что после проведенного ремонта в 2017 году оставшийся </t>
    </r>
    <r>
      <rPr>
        <b/>
        <sz val="14"/>
        <color rgb="FFFF0000"/>
        <rFont val="Calibri"/>
        <family val="2"/>
        <charset val="204"/>
        <scheme val="minor"/>
      </rPr>
      <t>срок жизни составил 2 года</t>
    </r>
    <r>
      <rPr>
        <b/>
        <sz val="14"/>
        <color theme="1"/>
        <rFont val="Calibri"/>
        <family val="2"/>
        <charset val="204"/>
        <scheme val="minor"/>
      </rPr>
      <t>. Износ аналогов начисляется линейно. Аналоги:
1. Насос, 2015 г.в. 10 000 куб./м в час, ремонта не было
2. Насос, 2015 г.в. 8 000 куб./м в час, ремонта не было
3. Насос, 2005 г.в. 8 000 куб./м в час, ремонта не было
4. Насос, 2005 г.в. 10 000 куб./м в час, ремонта не было
5. Насос, 2010 г.в. 10 000 куб./м в час, ремонта не было
6. Насос, 2010 г.в. 8 000 куб./м в час, ремонта не было</t>
    </r>
  </si>
  <si>
    <r>
      <rPr>
        <sz val="22"/>
        <color theme="1"/>
        <rFont val="Symbol"/>
        <family val="1"/>
        <charset val="2"/>
      </rPr>
      <t>®</t>
    </r>
    <r>
      <rPr>
        <i/>
        <sz val="22"/>
        <color theme="1"/>
        <rFont val="Calibri"/>
        <family val="2"/>
        <charset val="204"/>
      </rPr>
      <t xml:space="preserve"> дисконтирование реверсии (на конец последнего прогнозного периода)</t>
    </r>
    <r>
      <rPr>
        <i/>
        <sz val="22"/>
        <color theme="1"/>
        <rFont val="Calibri"/>
        <family val="2"/>
        <charset val="204"/>
        <scheme val="minor"/>
      </rPr>
      <t>;</t>
    </r>
  </si>
  <si>
    <r>
      <rPr>
        <sz val="22"/>
        <color theme="1"/>
        <rFont val="Symbol"/>
        <family val="1"/>
        <charset val="2"/>
      </rPr>
      <t>®</t>
    </r>
    <r>
      <rPr>
        <i/>
        <sz val="22"/>
        <color theme="1"/>
        <rFont val="Calibri"/>
        <family val="2"/>
        <charset val="204"/>
      </rPr>
      <t xml:space="preserve"> загрузка/недозагразка</t>
    </r>
    <r>
      <rPr>
        <i/>
        <sz val="22"/>
        <color theme="1"/>
        <rFont val="Calibri"/>
        <family val="2"/>
        <charset val="204"/>
        <scheme val="minor"/>
      </rPr>
      <t>;</t>
    </r>
  </si>
  <si>
    <r>
      <rPr>
        <sz val="22"/>
        <color theme="1"/>
        <rFont val="Symbol"/>
        <family val="1"/>
        <charset val="2"/>
      </rPr>
      <t>®</t>
    </r>
    <r>
      <rPr>
        <i/>
        <sz val="22"/>
        <color theme="1"/>
        <rFont val="Calibri"/>
        <family val="2"/>
        <charset val="204"/>
      </rPr>
      <t xml:space="preserve"> индексация различных величин в задачах (надо или не надо индексировать)</t>
    </r>
    <r>
      <rPr>
        <i/>
        <sz val="22"/>
        <color theme="1"/>
        <rFont val="Calibri"/>
        <family val="2"/>
        <charset val="204"/>
        <scheme val="minor"/>
      </rPr>
      <t>;</t>
    </r>
  </si>
  <si>
    <t>5.2.3.1. Определить рыночную стоимость производственной линии методом капитализации дохода при линейном возврате капитала. ПВД = 100 000, Среднегодовая загрузка 80%. ОР = 15% от ПВД. Ставка дисконтирования 20%. Нормативный срок жизни 35 лет, хронологический 10 лет, по мнению специалистов остаточный срок службы объекта 20 лет.</t>
  </si>
  <si>
    <r>
      <t xml:space="preserve">5.2.3.3. Оборудование может приносить потенциальный валовой доход 1 500 000. Расходы на обслуживание 15% </t>
    </r>
    <r>
      <rPr>
        <b/>
        <sz val="14"/>
        <color rgb="FFFF0000"/>
        <rFont val="Calibri"/>
        <family val="2"/>
        <charset val="204"/>
        <scheme val="minor"/>
      </rPr>
      <t>вне зависимости от загруженности</t>
    </r>
    <r>
      <rPr>
        <b/>
        <sz val="14"/>
        <color theme="1"/>
        <rFont val="Calibri"/>
        <family val="2"/>
        <charset val="204"/>
        <scheme val="minor"/>
      </rPr>
      <t>, недозагрузка 10%. Расходы переменные 800 000, ставка капитализации 15 %. Норма возврата 10 %. Рассчитать стоимость.</t>
    </r>
  </si>
  <si>
    <r>
      <rPr>
        <sz val="22"/>
        <color theme="1"/>
        <rFont val="Symbol"/>
        <family val="1"/>
        <charset val="2"/>
      </rPr>
      <t>®</t>
    </r>
    <r>
      <rPr>
        <i/>
        <sz val="22"/>
        <color theme="1"/>
        <rFont val="Calibri"/>
        <family val="2"/>
        <charset val="204"/>
      </rPr>
      <t xml:space="preserve"> постоянные/переменные расходы</t>
    </r>
    <r>
      <rPr>
        <i/>
        <sz val="22"/>
        <color theme="1"/>
        <rFont val="Calibri"/>
        <family val="2"/>
        <charset val="204"/>
        <scheme val="minor"/>
      </rPr>
      <t>;</t>
    </r>
  </si>
  <si>
    <t>5.2.3.4. (4 балла). Определите стоимость технологической линии методом прямой капитализации, исходя из допущения о линейном возврате капитала. Потенциальный валовой доход от использования производственной линии составляет 160 000 руб. Коэффициент недоиспользования равен 15%. Нормативный срок службы составляет 25 лет, хронологический возраст линии составляет 10 лет, при этом оставшийся срок службы по оценке технических экспертов составляет 20 лет. Операционные расходы составляют 15% от потенциального валового дохода. Ставка дисконтирования составляет 20%. По окончании срока полезного использования объект может быт продан по цене, равной действительному валовому доходу в первый период. Наиболее эффективное использование линии - продолжение эксплуатации линии в соответствии с функциональным назначением. Результат округлить до тысяч.</t>
  </si>
  <si>
    <r>
      <t xml:space="preserve">5.2.3.6. Оборудование может приносить прибыль 10 млн руб. Расходы на оборудование составляют 3 млн в год. На дату оценки оборудование находится в нерабочем состоянии (требует ремонта). Стоимость ремонта составит 200 тыс. руб. и будет оплачиваться равномерно на протяжении года. После ремонта оборудование сможет проработать </t>
    </r>
    <r>
      <rPr>
        <b/>
        <sz val="14"/>
        <color rgb="FFFF0000"/>
        <rFont val="Calibri"/>
        <family val="2"/>
        <charset val="204"/>
        <scheme val="minor"/>
      </rPr>
      <t>еще три года</t>
    </r>
    <r>
      <rPr>
        <b/>
        <sz val="14"/>
        <color theme="1"/>
        <rFont val="Calibri"/>
        <family val="2"/>
        <charset val="204"/>
        <scheme val="minor"/>
      </rPr>
      <t xml:space="preserve"> с недозагрузкой 10% и полностью обесценится. Темпы роста цен 5% в год. Определить рыночную стоимость оборудования. Ставка дисконтирования 20%. Дисконтирование на середину периода. Ставка капитализации 14%.</t>
    </r>
  </si>
  <si>
    <r>
      <t xml:space="preserve">5.2.3.7. (4 балла). Производительность технологической линии составляет 5 000 деталей в год, но последние 5 лет линия выпускала в среднем по 4 000 деталей в год, предпосылки для изменения объема выпуска в будущем отсутствуют. Масса линии составляет 52 тонны. Ожидается, что </t>
    </r>
    <r>
      <rPr>
        <b/>
        <sz val="14"/>
        <color rgb="FFFF0000"/>
        <rFont val="Calibri"/>
        <family val="2"/>
        <charset val="204"/>
        <scheme val="minor"/>
      </rPr>
      <t>в ближайший год</t>
    </r>
    <r>
      <rPr>
        <b/>
        <sz val="14"/>
        <color theme="1"/>
        <rFont val="Calibri"/>
        <family val="2"/>
        <charset val="204"/>
        <scheme val="minor"/>
      </rPr>
      <t xml:space="preserve">: средняя цена одной детали будет на уровне 1 000 руб., переменные расходы составят в среднем 500 руб. за единицу продукции, постоянные расходы на выпуск продукции ожидаются на уровне 1 500 000 руб. в год. Нормативный срок службы оценивается в 20 лет, хронологический возраст линии составляет 10 лет, при этом оставшийся срок службы по оценке технических экспертов определен на уровне 3 года. Ставка дисконтирования составляет 15%. По истечении срока службы линию планируется продать на утилизацию. Цена оборудования при сдаче на утилизацию составит 343 980 руб. </t>
    </r>
    <r>
      <rPr>
        <b/>
        <sz val="14"/>
        <color rgb="FFFF0000"/>
        <rFont val="Calibri"/>
        <family val="2"/>
        <charset val="204"/>
        <scheme val="minor"/>
      </rPr>
      <t>в ценах на дату утилизации</t>
    </r>
    <r>
      <rPr>
        <b/>
        <sz val="14"/>
        <color theme="1"/>
        <rFont val="Calibri"/>
        <family val="2"/>
        <charset val="204"/>
        <scheme val="minor"/>
      </rPr>
      <t xml:space="preserve">.Определите рыночную стоимость технологической линии методом дисконтирования денежных потоков исходя из следующих предпосылок: </t>
    </r>
    <r>
      <rPr>
        <b/>
        <sz val="14"/>
        <color rgb="FFFF0000"/>
        <rFont val="Calibri"/>
        <family val="2"/>
        <charset val="204"/>
        <scheme val="minor"/>
      </rPr>
      <t>Среднегодовой темп роста</t>
    </r>
    <r>
      <rPr>
        <b/>
        <sz val="14"/>
        <color theme="1"/>
        <rFont val="Calibri"/>
        <family val="2"/>
        <charset val="204"/>
        <scheme val="minor"/>
      </rPr>
      <t xml:space="preserve"> </t>
    </r>
    <r>
      <rPr>
        <b/>
        <sz val="14"/>
        <color rgb="FF7030A0"/>
        <rFont val="Calibri"/>
        <family val="2"/>
        <charset val="204"/>
        <scheme val="minor"/>
      </rPr>
      <t>ЦЕН</t>
    </r>
    <r>
      <rPr>
        <b/>
        <sz val="14"/>
        <color theme="1"/>
        <rFont val="Calibri"/>
        <family val="2"/>
        <charset val="204"/>
        <scheme val="minor"/>
      </rPr>
      <t xml:space="preserve"> на ближайшие 5 лет составляет 5%. Наиболее эффективное использование - продолжение эксплуатации линии в соответствии с функциональным назначением. Дисконтирование осуществляется на середину периода.</t>
    </r>
  </si>
  <si>
    <t>Реверсия</t>
  </si>
  <si>
    <r>
      <t xml:space="preserve">5.2.3.8. Технологическая линия приносит потенциальный валовой доход 100 000 руб. Загрузка составляет 85%. Операционные расходы составляют 20% от ПВД. Хронологический возраст 4 года, нормативный срок службы 5 лет, по мнению технологических экспертов линия будет работать еще три года. Ставка дисконтирования 21,7%, </t>
    </r>
    <r>
      <rPr>
        <b/>
        <sz val="14"/>
        <color rgb="FFFF0000"/>
        <rFont val="Calibri"/>
        <family val="2"/>
        <charset val="204"/>
        <scheme val="minor"/>
      </rPr>
      <t>в последующие три</t>
    </r>
    <r>
      <rPr>
        <b/>
        <sz val="14"/>
        <color theme="1"/>
        <rFont val="Calibri"/>
        <family val="2"/>
        <charset val="204"/>
        <scheme val="minor"/>
      </rPr>
      <t xml:space="preserve"> </t>
    </r>
    <r>
      <rPr>
        <b/>
        <sz val="14"/>
        <color rgb="FFFF0000"/>
        <rFont val="Calibri"/>
        <family val="2"/>
        <charset val="204"/>
        <scheme val="minor"/>
      </rPr>
      <t>года</t>
    </r>
    <r>
      <rPr>
        <b/>
        <sz val="14"/>
        <color theme="1"/>
        <rFont val="Calibri"/>
        <family val="2"/>
        <charset val="204"/>
        <scheme val="minor"/>
      </rPr>
      <t xml:space="preserve"> темп роста составит 5%. По окончании срока службы линия будет изношена полностью. Определить стоимость линии. Дисконтирование осуществлять на середину периода.</t>
    </r>
  </si>
  <si>
    <t>5.2.3.9. Завод изготавливает пряники. Определить его общую производительность при условии, что оборудование докупать и изменять не будут. Есть информация по производительности:
- Оборудование по смешиванию теста – 40 кг/час
- Оборудование по изготовлению форм – 45 кг/час
- Оборудование по выпечке изделий – 30 кг/час
- Оборудование по упаковке – 50 кг/час</t>
  </si>
  <si>
    <r>
      <t xml:space="preserve">5.2.3.11. (4 балла). Оборудование способно приносить 100 000 руб. в год. Работает на 80%, в перспективе изменения уровня загрузки не ожидается. Операционные затраты 15 % от ПВД. Нормативный срок службы 20 лет. Фактический возраст 15 лет. По оценкам специалистов оставшийся срок службы 3 года. По окончанию срока эксплуатации будет утилизировано за 312 000 руб. </t>
    </r>
    <r>
      <rPr>
        <b/>
        <sz val="14"/>
        <color rgb="FFFF0000"/>
        <rFont val="Calibri"/>
        <family val="2"/>
        <charset val="204"/>
        <scheme val="minor"/>
      </rPr>
      <t>в ценах на дату утилизации</t>
    </r>
    <r>
      <rPr>
        <b/>
        <sz val="14"/>
        <color theme="1"/>
        <rFont val="Calibri"/>
        <family val="2"/>
        <charset val="204"/>
        <scheme val="minor"/>
      </rPr>
      <t>. Ожидается ежегодный рост цен на 5% в ближайшие 3 года. Ставка капитализации 55%. Определить рыночную стоимость методом дисконтирования. Дисконтирование потоков производственного периода осуществлять на середину года.</t>
    </r>
  </si>
  <si>
    <t xml:space="preserve">5.2.3.12. Рассчитать норму возврата по методу Инвуда. Хронологический возраст 6 лет. Нормативный срок службы 10 лет. Доходность инвестиций 15%. Безрисковая ставка 9% </t>
  </si>
  <si>
    <t xml:space="preserve">5.2.3.13. Рассчитать норму возврата по методу Хоскольда. Хронологический возраст 6 лет. Нормативный срок службы 10 лет. Доходность инвестиций 15%. Безрисковая ставка 9% </t>
  </si>
  <si>
    <r>
      <t xml:space="preserve">5.2.3.15. Ожидается, что оборудование будет приносить чистый операционный доход 10 000 руб. в 1 год, 11 000 во 2 год, 12 000 в 3 год. По оценкам специалистов оставшийся срок службы 3 года. Ставка дисконтирования 10%, дисконтирование выполнять </t>
    </r>
    <r>
      <rPr>
        <b/>
        <sz val="14"/>
        <color rgb="FFFF0000"/>
        <rFont val="Calibri"/>
        <family val="2"/>
        <charset val="204"/>
        <scheme val="minor"/>
      </rPr>
      <t>на конец</t>
    </r>
    <r>
      <rPr>
        <b/>
        <sz val="14"/>
        <color theme="1"/>
        <rFont val="Calibri"/>
        <family val="2"/>
        <charset val="204"/>
        <scheme val="minor"/>
      </rPr>
      <t xml:space="preserve"> периода. Рассчитать стоимость оборудования.</t>
    </r>
  </si>
  <si>
    <r>
      <t xml:space="preserve">5.2.3.16. (4 балла). Рыночная стоимость линии 400 000 руб. (без НДС, НДС 18%). Компания выпускает продукцию: постоянные расходы 300 000 рублей в год (без НДС), переменные - 1870 руб. без НДС за единицу продукции, отпускная цена 2350 руб. </t>
    </r>
    <r>
      <rPr>
        <b/>
        <sz val="14"/>
        <color rgb="FFFF0000"/>
        <rFont val="Calibri"/>
        <family val="2"/>
        <charset val="204"/>
        <scheme val="minor"/>
      </rPr>
      <t>с НДС</t>
    </r>
    <r>
      <rPr>
        <b/>
        <sz val="14"/>
        <color theme="1"/>
        <rFont val="Calibri"/>
        <family val="2"/>
        <charset val="204"/>
        <scheme val="minor"/>
      </rPr>
      <t xml:space="preserve"> за единицу продукции. Ставка дисконтирования 15%, безрисковая 7%. Эффективный возраст 9 лет, срок службы 15 лет. Определить количество выпускаемой продукции в год. Норму возврата капитала рассчитать по методу Хоскольда.</t>
    </r>
  </si>
  <si>
    <t>На экзамене проверить величину НДС</t>
  </si>
  <si>
    <r>
      <t xml:space="preserve">5.2.3.17. (4 балла). Рыночная стоимость линии 400 000 руб. без НДС (НДС 18%). Количество производимой продукции 880 штук. Выручка от реализации за штуку 2850 руб. </t>
    </r>
    <r>
      <rPr>
        <b/>
        <sz val="14"/>
        <color rgb="FFFF0000"/>
        <rFont val="Calibri"/>
        <family val="2"/>
        <charset val="204"/>
        <scheme val="minor"/>
      </rPr>
      <t>с НДС</t>
    </r>
    <r>
      <rPr>
        <b/>
        <sz val="14"/>
        <color theme="1"/>
        <rFont val="Calibri"/>
        <family val="2"/>
        <charset val="204"/>
        <scheme val="minor"/>
      </rPr>
      <t>, затраты на производство 1 шт. 1650 руб. без НДС, ставка дисконтирования 15%, безрисковая 7%, эффективный возраст 9 лет, нормативный возраст 15 лет. Норма возврата капитала по методу Инвуда. Определить годовую сумму постоянных затрат в руб. без НДС.</t>
    </r>
  </si>
  <si>
    <r>
      <t xml:space="preserve">5.2.3.18. (4 балла). Определить методом дисконтированных денежных потоков стоимость производственной линии на 01.01.2017 года. Ежемесячный объем производства продукции - 100 шт., стоимость 1 единицы продукции </t>
    </r>
    <r>
      <rPr>
        <b/>
        <sz val="14"/>
        <color rgb="FFFF0000"/>
        <rFont val="Calibri"/>
        <family val="2"/>
        <charset val="204"/>
        <scheme val="minor"/>
      </rPr>
      <t>по состоянию на 01.01.2017</t>
    </r>
    <r>
      <rPr>
        <b/>
        <sz val="14"/>
        <color theme="1"/>
        <rFont val="Calibri"/>
        <family val="2"/>
        <charset val="204"/>
        <scheme val="minor"/>
      </rPr>
      <t xml:space="preserve"> составляет 500 руб./шт. Линия может работать 3 года, после чего для продолжения работы линии еще на 3 года необходимо проведение капитального ремонта, затраты на который составляют 750 000 руб. в ценах по состоянию </t>
    </r>
    <r>
      <rPr>
        <b/>
        <sz val="14"/>
        <color rgb="FFFF0000"/>
        <rFont val="Calibri"/>
        <family val="2"/>
        <charset val="204"/>
        <scheme val="minor"/>
      </rPr>
      <t>на дату оценки</t>
    </r>
    <r>
      <rPr>
        <b/>
        <sz val="14"/>
        <color theme="1"/>
        <rFont val="Calibri"/>
        <family val="2"/>
        <charset val="204"/>
        <scheme val="minor"/>
      </rPr>
      <t xml:space="preserve">. Длительность проведения капитального ремонта 3 месяца. Длительность планового регламентного обслуживания в период до капитального ремонта составляет 1 месяц в год, после проведения капитального ремонта 2 месяца в год. В год проведения капитального ремонта плановое регламентное обслуживание не проводится. </t>
    </r>
    <r>
      <rPr>
        <b/>
        <sz val="14"/>
        <color rgb="FFFF0000"/>
        <rFont val="Calibri"/>
        <family val="2"/>
        <charset val="204"/>
        <scheme val="minor"/>
      </rPr>
      <t>Среднемесячное</t>
    </r>
    <r>
      <rPr>
        <b/>
        <sz val="14"/>
        <color theme="1"/>
        <rFont val="Calibri"/>
        <family val="2"/>
        <charset val="204"/>
        <scheme val="minor"/>
      </rPr>
      <t xml:space="preserve"> значение постоянных эксплуатационных затрат составляют 10 000 руб., проведение капитального ремонта не отражается на величине постоянных затрат. Переменные затраты на производство 1 единицы продукции </t>
    </r>
    <r>
      <rPr>
        <b/>
        <sz val="14"/>
        <color rgb="FFFF0000"/>
        <rFont val="Calibri"/>
        <family val="2"/>
        <charset val="204"/>
        <scheme val="minor"/>
      </rPr>
      <t>в 2017 году</t>
    </r>
    <r>
      <rPr>
        <b/>
        <sz val="14"/>
        <color theme="1"/>
        <rFont val="Calibri"/>
        <family val="2"/>
        <charset val="204"/>
        <scheme val="minor"/>
      </rPr>
      <t xml:space="preserve"> </t>
    </r>
    <r>
      <rPr>
        <b/>
        <sz val="14"/>
        <color rgb="FFFF0000"/>
        <rFont val="Calibri"/>
        <family val="2"/>
        <charset val="204"/>
        <scheme val="minor"/>
      </rPr>
      <t>составляют</t>
    </r>
    <r>
      <rPr>
        <b/>
        <sz val="14"/>
        <color theme="1"/>
        <rFont val="Calibri"/>
        <family val="2"/>
        <charset val="204"/>
        <scheme val="minor"/>
      </rPr>
      <t xml:space="preserve"> 130 руб./шт. Ставка дисконтирования 0,2, дисконтирование провести на середину периода, длительность каждого периода - 1 год. Изменение цен на продукцию, элементы себестоимости, ремонты происходит в начале каждого года:</t>
    </r>
  </si>
  <si>
    <r>
      <rPr>
        <sz val="22"/>
        <color theme="1"/>
        <rFont val="Symbol"/>
        <family val="1"/>
        <charset val="2"/>
      </rPr>
      <t>®</t>
    </r>
    <r>
      <rPr>
        <i/>
        <sz val="22"/>
        <color theme="1"/>
        <rFont val="Calibri"/>
        <family val="2"/>
        <charset val="204"/>
      </rPr>
      <t xml:space="preserve"> соотносимость возрастов и сроков</t>
    </r>
    <r>
      <rPr>
        <i/>
        <sz val="22"/>
        <color theme="1"/>
        <rFont val="Calibri"/>
        <family val="2"/>
        <charset val="204"/>
        <scheme val="minor"/>
      </rPr>
      <t>;</t>
    </r>
  </si>
  <si>
    <r>
      <t xml:space="preserve">5.2.3.21. (4 балла). Определить методом дисконтированных денежных потоков стоимость производственной линии на 01.01.2017 года. Ежемесячный объем производства продукции - 100 шт., стоимость 1 единицы продукции </t>
    </r>
    <r>
      <rPr>
        <b/>
        <sz val="14"/>
        <color rgb="FFFF0000"/>
        <rFont val="Calibri"/>
        <family val="2"/>
        <charset val="204"/>
        <scheme val="minor"/>
      </rPr>
      <t>по состоянию на 01.01.2017</t>
    </r>
    <r>
      <rPr>
        <b/>
        <sz val="14"/>
        <color theme="1"/>
        <rFont val="Calibri"/>
        <family val="2"/>
        <charset val="204"/>
        <scheme val="minor"/>
      </rPr>
      <t xml:space="preserve"> составляет 500 руб./шт. Линия может работать 3 года, после чего для продолжения работы линии еще на 3 года необходимо проведение капитального ремонта, затраты на который составляют 750 000 руб. в ценах по состоянию </t>
    </r>
    <r>
      <rPr>
        <b/>
        <sz val="14"/>
        <color rgb="FFFF0000"/>
        <rFont val="Calibri"/>
        <family val="2"/>
        <charset val="204"/>
        <scheme val="minor"/>
      </rPr>
      <t>на дату капитального ремонта</t>
    </r>
    <r>
      <rPr>
        <b/>
        <sz val="14"/>
        <color theme="1"/>
        <rFont val="Calibri"/>
        <family val="2"/>
        <charset val="204"/>
        <scheme val="minor"/>
      </rPr>
      <t xml:space="preserve">. Длительность проведения капитального ремонта 3 месяца. Длительность планового регламентного обслуживания в период до капитального ремонта составляет 1 месяц в год, после проведения капитального ремонта 2 месяца в год. В год проведения капитального ремонта плановое регламентное обслуживание не проводится. </t>
    </r>
    <r>
      <rPr>
        <b/>
        <sz val="14"/>
        <color rgb="FFFF0000"/>
        <rFont val="Calibri"/>
        <family val="2"/>
        <charset val="204"/>
        <scheme val="minor"/>
      </rPr>
      <t>Среднегодовое</t>
    </r>
    <r>
      <rPr>
        <b/>
        <sz val="14"/>
        <color theme="1"/>
        <rFont val="Calibri"/>
        <family val="2"/>
        <charset val="204"/>
        <scheme val="minor"/>
      </rPr>
      <t xml:space="preserve"> значение постоянных эксплуатационных затрат составляют 10 000 руб., проведение капитального ремонта не отражается на величине постоянных затрат. Переменные затраты на производство 1 единицы продукции </t>
    </r>
    <r>
      <rPr>
        <b/>
        <sz val="14"/>
        <color rgb="FFFF0000"/>
        <rFont val="Calibri"/>
        <family val="2"/>
        <charset val="204"/>
        <scheme val="minor"/>
      </rPr>
      <t>в 2017 году составляют</t>
    </r>
    <r>
      <rPr>
        <b/>
        <sz val="14"/>
        <color theme="1"/>
        <rFont val="Calibri"/>
        <family val="2"/>
        <charset val="204"/>
        <scheme val="minor"/>
      </rPr>
      <t xml:space="preserve"> 130 руб./шт. Ставка дисконтирования 0,2, дисконтирование провести на середину периода, длительность каждого периода - 1 год. Изменение цен на продукцию, элементы себестоимости, ремонты происходит в начале каждого года</t>
    </r>
  </si>
  <si>
    <t>Вариант 1</t>
  </si>
  <si>
    <t>Вариант 3</t>
  </si>
  <si>
    <t>Денежный поток без вычета пост. затрат</t>
  </si>
  <si>
    <t>Текущая стоимость потока</t>
  </si>
  <si>
    <t>Рыночная стоимость из условия задачи</t>
  </si>
  <si>
    <t>Стоимость с пост. затратами</t>
  </si>
  <si>
    <r>
      <t xml:space="preserve">5.2.3.23. Стоимость </t>
    </r>
    <r>
      <rPr>
        <b/>
        <sz val="14"/>
        <color rgb="FFFF0000"/>
        <rFont val="Calibri"/>
        <family val="2"/>
        <charset val="204"/>
        <scheme val="minor"/>
      </rPr>
      <t>нового</t>
    </r>
    <r>
      <rPr>
        <b/>
        <sz val="14"/>
        <color theme="1"/>
        <rFont val="Calibri"/>
        <family val="2"/>
        <charset val="204"/>
        <scheme val="minor"/>
      </rPr>
      <t xml:space="preserve"> оборудования на дату оценки 600000 руб. без НДС, на оборудовании изготавливается 800 ед. продукции, стоимость 1 ед. 2200 руб. </t>
    </r>
    <r>
      <rPr>
        <b/>
        <sz val="14"/>
        <color rgb="FFFF0000"/>
        <rFont val="Calibri"/>
        <family val="2"/>
        <charset val="204"/>
        <scheme val="minor"/>
      </rPr>
      <t>с НДС</t>
    </r>
    <r>
      <rPr>
        <b/>
        <sz val="14"/>
        <color theme="1"/>
        <rFont val="Calibri"/>
        <family val="2"/>
        <charset val="204"/>
        <scheme val="minor"/>
      </rPr>
      <t xml:space="preserve"> </t>
    </r>
    <r>
      <rPr>
        <b/>
        <sz val="14"/>
        <color rgb="FFFF0000"/>
        <rFont val="Calibri"/>
        <family val="2"/>
        <charset val="204"/>
        <scheme val="minor"/>
      </rPr>
      <t>18%</t>
    </r>
    <r>
      <rPr>
        <b/>
        <sz val="14"/>
        <color theme="1"/>
        <rFont val="Calibri"/>
        <family val="2"/>
        <charset val="204"/>
        <scheme val="minor"/>
      </rPr>
      <t>, затраты на производство 1630 руб. без НДС за 1 ед., постоянные затраты 98 тыс. руб. без НДС, эффективный возраст 5 лет, нормативный срок 15 лет, безрисковая ставка 7%. Определить ставку дисконтирования (норму возврата определить методом Ринга).</t>
    </r>
  </si>
  <si>
    <r>
      <t xml:space="preserve">Выручка за единицу, </t>
    </r>
    <r>
      <rPr>
        <sz val="14"/>
        <color rgb="FFFF0000"/>
        <rFont val="Calibri"/>
        <family val="2"/>
        <charset val="204"/>
        <scheme val="minor"/>
      </rPr>
      <t>без НДС</t>
    </r>
  </si>
  <si>
    <t>Выручка - Переменные - Постоянные</t>
  </si>
  <si>
    <t>Эффективный возраст /  Срок службы</t>
  </si>
  <si>
    <t>Стоимость нового * (1 - Износ)</t>
  </si>
  <si>
    <t>ЧОД / РС</t>
  </si>
  <si>
    <t>Ставка капитализации - Норма возврата</t>
  </si>
  <si>
    <r>
      <t xml:space="preserve">5.2.1.1. </t>
    </r>
    <r>
      <rPr>
        <b/>
        <sz val="14"/>
        <color rgb="FFFF0000"/>
        <rFont val="Calibri"/>
        <family val="2"/>
        <charset val="204"/>
        <scheme val="minor"/>
      </rPr>
      <t>Американский</t>
    </r>
    <r>
      <rPr>
        <b/>
        <sz val="14"/>
        <color theme="1"/>
        <rFont val="Calibri"/>
        <family val="2"/>
        <charset val="204"/>
        <scheme val="minor"/>
      </rPr>
      <t xml:space="preserve"> автомобиль, пробег </t>
    </r>
    <r>
      <rPr>
        <b/>
        <sz val="14"/>
        <color rgb="FF7030A0"/>
        <rFont val="Calibri"/>
        <family val="2"/>
        <charset val="204"/>
        <scheme val="minor"/>
      </rPr>
      <t>30 000</t>
    </r>
    <r>
      <rPr>
        <b/>
        <sz val="14"/>
        <color theme="1"/>
        <rFont val="Calibri"/>
        <family val="2"/>
        <charset val="204"/>
        <scheme val="minor"/>
      </rPr>
      <t xml:space="preserve"> км, срок службы 2 года. Аналог – </t>
    </r>
    <r>
      <rPr>
        <b/>
        <sz val="14"/>
        <color rgb="FFFF0000"/>
        <rFont val="Calibri"/>
        <family val="2"/>
        <charset val="204"/>
        <scheme val="minor"/>
      </rPr>
      <t>американский</t>
    </r>
    <r>
      <rPr>
        <b/>
        <sz val="14"/>
        <color theme="1"/>
        <rFont val="Calibri"/>
        <family val="2"/>
        <charset val="204"/>
        <scheme val="minor"/>
      </rPr>
      <t xml:space="preserve"> автомобиль, пробег </t>
    </r>
    <r>
      <rPr>
        <b/>
        <sz val="14"/>
        <color rgb="FF7030A0"/>
        <rFont val="Calibri"/>
        <family val="2"/>
        <charset val="204"/>
        <scheme val="minor"/>
      </rPr>
      <t>25 000</t>
    </r>
    <r>
      <rPr>
        <b/>
        <sz val="14"/>
        <color theme="1"/>
        <rFont val="Calibri"/>
        <family val="2"/>
        <charset val="204"/>
        <scheme val="minor"/>
      </rPr>
      <t xml:space="preserve"> км, срок службы 2 года. Стоимость нового 100 000 руб. Физический износ рассчитывается по формуле: Иф = 1-ехр(-ω). Зависимость ω для расчета износа легковых автомобилей </t>
    </r>
    <r>
      <rPr>
        <b/>
        <sz val="14"/>
        <color rgb="FFFF0000"/>
        <rFont val="Calibri"/>
        <family val="2"/>
        <charset val="204"/>
        <scheme val="minor"/>
      </rPr>
      <t>азиатского</t>
    </r>
    <r>
      <rPr>
        <b/>
        <sz val="14"/>
        <color theme="1"/>
        <rFont val="Calibri"/>
        <family val="2"/>
        <charset val="204"/>
        <scheme val="minor"/>
      </rPr>
      <t xml:space="preserve"> производства: ω = 0,065*В+0,0032*П, а для автомобилей </t>
    </r>
    <r>
      <rPr>
        <b/>
        <sz val="14"/>
        <color rgb="FFFF0000"/>
        <rFont val="Calibri"/>
        <family val="2"/>
        <charset val="204"/>
        <scheme val="minor"/>
      </rPr>
      <t>американского</t>
    </r>
    <r>
      <rPr>
        <b/>
        <sz val="14"/>
        <color theme="1"/>
        <rFont val="Calibri"/>
        <family val="2"/>
        <charset val="204"/>
        <scheme val="minor"/>
      </rPr>
      <t xml:space="preserve"> производства: ω = 0,055*В+0,003*П, где П - пробег </t>
    </r>
    <r>
      <rPr>
        <b/>
        <sz val="14"/>
        <color rgb="FF7030A0"/>
        <rFont val="Calibri"/>
        <family val="2"/>
        <charset val="204"/>
        <scheme val="minor"/>
      </rPr>
      <t>в тыс. км</t>
    </r>
    <r>
      <rPr>
        <b/>
        <sz val="14"/>
        <color theme="1"/>
        <rFont val="Calibri"/>
        <family val="2"/>
        <charset val="204"/>
        <scheme val="minor"/>
      </rPr>
      <t>, а В - возраст транспортного средства в годах. Определите денежную корректировку к цене объекта-аналога.</t>
    </r>
  </si>
  <si>
    <t>Без внешнего обесценения</t>
  </si>
  <si>
    <t>Индекс 2013-2018 будет меньше единицы!</t>
  </si>
  <si>
    <t>Доля активов</t>
  </si>
  <si>
    <t>ПВС 2013</t>
  </si>
  <si>
    <t>5.2.2.14. Тележка массой 2 т двигается по рельсам. Какая стоимость 1 п.м. рельсового пути, если даны аналоги: тележка 2 т на рельсовом пути 20 м – 100 000 руб. и аналогичная тележка на пути 25 м – 120000 руб.</t>
  </si>
  <si>
    <r>
      <t xml:space="preserve">5.2.1.92. Определить </t>
    </r>
    <r>
      <rPr>
        <b/>
        <sz val="14"/>
        <color rgb="FFFF0000"/>
        <rFont val="Calibri"/>
        <family val="2"/>
        <charset val="204"/>
        <scheme val="minor"/>
      </rPr>
      <t>затратным</t>
    </r>
    <r>
      <rPr>
        <b/>
        <sz val="14"/>
        <color theme="1"/>
        <rFont val="Calibri"/>
        <family val="2"/>
        <charset val="204"/>
        <scheme val="minor"/>
      </rPr>
      <t xml:space="preserve"> подходом рыночную стоимость буксира, мощностью Р 1500. Износ у объекта оценки 70%, стоимость нового - 30 000 000 рублей. Оценщик анализом рынка со всеми корректировками на отличие определил, что 1 квт стоит 5 000 рублей.</t>
    </r>
  </si>
  <si>
    <r>
      <t>5.2.1.17. Определить функциональный износ линии, если известно, что для обслуживания оцениваемой линии требуется два человека, для обслуживания современной аналогичной линии — 1 человек. Известно, что оставшийся срок жизни линии — 3 года. Ставка дисконтирования 20%. Зарплата — 20 000 руб./чел.</t>
    </r>
    <r>
      <rPr>
        <b/>
        <sz val="14"/>
        <color rgb="FFFF0000"/>
        <rFont val="Calibri"/>
        <family val="2"/>
        <charset val="204"/>
        <scheme val="minor"/>
      </rPr>
      <t xml:space="preserve"> в месяц</t>
    </r>
    <r>
      <rPr>
        <b/>
        <sz val="14"/>
        <color theme="1"/>
        <rFont val="Calibri"/>
        <family val="2"/>
        <charset val="204"/>
        <scheme val="minor"/>
      </rPr>
      <t>. Прочие расходы не учитывать (расчеты вести на середину периода). Коэффициент торможения для аналогичного оборудования — 0,8.</t>
    </r>
  </si>
  <si>
    <r>
      <t xml:space="preserve">5.2.1.81. Индекс цен с 01.01.2010 года по 01.01.2013 года равен 0,85, с 01.01.2013 года по 01.01.2015 года цены </t>
    </r>
    <r>
      <rPr>
        <b/>
        <sz val="14"/>
        <color rgb="FFFF0000"/>
        <rFont val="Calibri"/>
        <family val="2"/>
        <charset val="204"/>
        <scheme val="minor"/>
      </rPr>
      <t>выросли на 110%</t>
    </r>
    <r>
      <rPr>
        <b/>
        <sz val="14"/>
        <color theme="1"/>
        <rFont val="Calibri"/>
        <family val="2"/>
        <charset val="204"/>
        <scheme val="minor"/>
      </rPr>
      <t xml:space="preserve">, с 01.01.2015 года по 01.01.2018 года </t>
    </r>
    <r>
      <rPr>
        <b/>
        <sz val="14"/>
        <color rgb="FFFF0000"/>
        <rFont val="Calibri"/>
        <family val="2"/>
        <charset val="204"/>
        <scheme val="minor"/>
      </rPr>
      <t>уменьшились в 1,4 раза</t>
    </r>
    <r>
      <rPr>
        <b/>
        <sz val="14"/>
        <color theme="1"/>
        <rFont val="Calibri"/>
        <family val="2"/>
        <charset val="204"/>
        <scheme val="minor"/>
      </rPr>
      <t xml:space="preserve">. Найти </t>
    </r>
    <r>
      <rPr>
        <b/>
        <sz val="14"/>
        <color rgb="FFFF0000"/>
        <rFont val="Calibri"/>
        <family val="2"/>
        <charset val="204"/>
        <scheme val="minor"/>
      </rPr>
      <t>среднемесячное изменение цен</t>
    </r>
    <r>
      <rPr>
        <b/>
        <sz val="14"/>
        <color theme="1"/>
        <rFont val="Calibri"/>
        <family val="2"/>
        <charset val="204"/>
        <scheme val="minor"/>
      </rPr>
      <t xml:space="preserve"> с 01.01.2010 года по 01.01.2018 года.</t>
    </r>
  </si>
  <si>
    <r>
      <t xml:space="preserve">5.2.1.88. Рассчитать функциональный износ, если расходы на электроэнергию объекта оценки составляют </t>
    </r>
    <r>
      <rPr>
        <b/>
        <sz val="14"/>
        <color rgb="FFFF0000"/>
        <rFont val="Calibri"/>
        <family val="2"/>
        <charset val="204"/>
        <scheme val="minor"/>
      </rPr>
      <t>100 000 руб.</t>
    </r>
    <r>
      <rPr>
        <b/>
        <sz val="14"/>
        <color theme="1"/>
        <rFont val="Calibri"/>
        <family val="2"/>
        <charset val="204"/>
        <scheme val="minor"/>
      </rPr>
      <t xml:space="preserve"> </t>
    </r>
    <r>
      <rPr>
        <b/>
        <sz val="14"/>
        <color rgb="FFFF0000"/>
        <rFont val="Calibri"/>
        <family val="2"/>
        <charset val="204"/>
        <scheme val="minor"/>
      </rPr>
      <t>в первый год</t>
    </r>
    <r>
      <rPr>
        <b/>
        <sz val="14"/>
        <color theme="1"/>
        <rFont val="Calibri"/>
        <family val="2"/>
        <charset val="204"/>
        <scheme val="minor"/>
      </rPr>
      <t>, расходы на электроэнергию аналогичного объекта составляют 60 000 руб в год. Инфляция 10% (начисляется</t>
    </r>
    <r>
      <rPr>
        <b/>
        <sz val="14"/>
        <color rgb="FFFF0000"/>
        <rFont val="Calibri"/>
        <family val="2"/>
        <charset val="204"/>
        <scheme val="minor"/>
      </rPr>
      <t xml:space="preserve"> в начале каждого года</t>
    </r>
    <r>
      <rPr>
        <b/>
        <sz val="14"/>
        <color theme="1"/>
        <rFont val="Calibri"/>
        <family val="2"/>
        <charset val="204"/>
        <scheme val="minor"/>
      </rPr>
      <t>). Нормативный срок службы три года. Ставка дисконтирования 15%. Дисконтирование проводится на середину периода.</t>
    </r>
  </si>
  <si>
    <t>1,5Y / (X*1,1*65 + 1,5Y) = 0,6</t>
  </si>
  <si>
    <t>Y = 100 - 30X</t>
  </si>
  <si>
    <t>1,5Y = 0,6 * (X*1,1*65 + 1,5Y)</t>
  </si>
  <si>
    <t>1,5Y = 0,6*X*1,1*65 + 0,6*1,5Y</t>
  </si>
  <si>
    <t>1,5Y = 42,9X + 0,9Y</t>
  </si>
  <si>
    <t>1,5Y-0,9Y=42,9X</t>
  </si>
  <si>
    <t>0,6Y = 42,9X</t>
  </si>
  <si>
    <t>Y = 71,5X</t>
  </si>
  <si>
    <t>71,5X = 100 - 30X</t>
  </si>
  <si>
    <t>101,5X = 100</t>
  </si>
  <si>
    <t>X = 0,985</t>
  </si>
  <si>
    <r>
      <t xml:space="preserve">(X*1,1*65 + 1,5Y) = 0,985*1,1*65 + 1,5*70,427 = 70,427 + 105,64 = </t>
    </r>
    <r>
      <rPr>
        <b/>
        <sz val="14"/>
        <color theme="1"/>
        <rFont val="Calibri"/>
        <family val="2"/>
        <charset val="204"/>
        <scheme val="minor"/>
      </rPr>
      <t>176</t>
    </r>
  </si>
  <si>
    <t>Соответственно:</t>
  </si>
  <si>
    <t>30X + Y = 100 млн.р.</t>
  </si>
  <si>
    <t>Стоимость планера на дату оценки = X*1,1*65</t>
  </si>
  <si>
    <t>Стоимость двигателя на дату оценки = 1,5Y</t>
  </si>
  <si>
    <t>Стоимость самолета на дату оценки = X*1,1*65 + 1,5Y</t>
  </si>
  <si>
    <t>Выражаем Y из первого уравнения:</t>
  </si>
  <si>
    <t>Выражаем Y из второго уравнения:</t>
  </si>
  <si>
    <t>Приравнимаем между собой Y из первого и второго уравнения</t>
  </si>
  <si>
    <t>Тогда стоимость самолёта на дату оценки:</t>
  </si>
  <si>
    <r>
      <t xml:space="preserve">Y </t>
    </r>
    <r>
      <rPr>
        <sz val="14"/>
        <color theme="1"/>
        <rFont val="Calibri"/>
        <family val="2"/>
        <charset val="204"/>
        <scheme val="minor"/>
      </rPr>
      <t>= 71,5X = 71,5*0,985</t>
    </r>
    <r>
      <rPr>
        <b/>
        <sz val="14"/>
        <color theme="1"/>
        <rFont val="Calibri"/>
        <family val="2"/>
        <charset val="204"/>
        <scheme val="minor"/>
      </rPr>
      <t xml:space="preserve"> = 70,427</t>
    </r>
  </si>
  <si>
    <t>Принимаем за X долларов стоимость планера на дату приобретения</t>
  </si>
  <si>
    <t>Принимаем за Y рублей стоимость двигателя на дату приобретения</t>
  </si>
  <si>
    <t>5.2.1.105. Объект оценки – грузовой автомобиль с пробегом 600 тыс. км и возрастом 8 лет. Нормативный срок службы 10 лет. Стоимость нового аналога 1200 тыс. руб. Физический износ по данным справочника определяется по формуле Иф = 1 - exp(-ɷ). Зависимость ɷ для расчета износа для данного автомобиля: ɷ = 0,1*В + 0,003*П, где П - пробег, в тыс. км, а В - возраст транспортного средства в годах. По рыночным данным износ определяется по формуле: 1- exp(-1,6 * Tэфф/Tнорм). Определить рыночную стоимость объекта оценки.</t>
  </si>
  <si>
    <t>Если есть рыночные данные, то считаем износ по рыночным данным</t>
  </si>
  <si>
    <t>5.2.1.106. Срок службы двигателя самолета до капитального ремонта составляет 10 лет. Нормативный налет двигателя составляет 30000 часов. Нормативный показатель двигателя по взлетам-посадкам составляет 12000. Среднегодовые показатели налетов составляют: по налетам - 3500 часов, по взлетам-посадкам - 1200 взлетов-посадок. Определить оставшийся срок службы двигателя самолета до капитального ремонта (в годах), если самолет эксплуатируется 4 года. Износ начисляется линейно.</t>
  </si>
  <si>
    <t>Срок до капремонта</t>
  </si>
  <si>
    <t>Нормативный налёт двигателя</t>
  </si>
  <si>
    <t>Нормативный показатель по взлётам</t>
  </si>
  <si>
    <t>Среднегодовой по налётам</t>
  </si>
  <si>
    <t>Среднегодовой по взлётам</t>
  </si>
  <si>
    <t>Срок эксплуатации</t>
  </si>
  <si>
    <t>Оставшийся срок по сроку до капремонта</t>
  </si>
  <si>
    <t>Срок службы по двигателю</t>
  </si>
  <si>
    <t>Оставшийся срок службы по двигателю</t>
  </si>
  <si>
    <t>Оставшийся срок службы по взлётам</t>
  </si>
  <si>
    <t>Срок службы по взлётам</t>
  </si>
  <si>
    <t>Выбираем наименьший из трёх оставшихся сроков службы.</t>
  </si>
  <si>
    <t>Принимаем за X рублей стоимость планера на дату приобретения</t>
  </si>
  <si>
    <t>Принимаем за Y долларов стоимость двигателя на дату приобретения</t>
  </si>
  <si>
    <t>X + 32Y = 10 млн.р.</t>
  </si>
  <si>
    <t>Х = 10 - 32Y</t>
  </si>
  <si>
    <t>Стоимость планера на дату оценки = 1,5X</t>
  </si>
  <si>
    <t>Стоимость самолета на дату оценки = 1,5X + 71,5Y</t>
  </si>
  <si>
    <t>71,5Y / 1,5X = 0,3</t>
  </si>
  <si>
    <t>Выражаем X из первого уравнения:</t>
  </si>
  <si>
    <t>Выражаем X из второго уравнения:</t>
  </si>
  <si>
    <t>71,5Y = 1,5X*0,3</t>
  </si>
  <si>
    <t>Приравнимаем между собой X из первого и второго уравнения</t>
  </si>
  <si>
    <t>X = 158,889Y</t>
  </si>
  <si>
    <t>158,889Y = 10 - 32Y</t>
  </si>
  <si>
    <t>190,889Y = 10</t>
  </si>
  <si>
    <t>Y = 0,0524</t>
  </si>
  <si>
    <r>
      <t xml:space="preserve">X </t>
    </r>
    <r>
      <rPr>
        <sz val="14"/>
        <color theme="1"/>
        <rFont val="Calibri"/>
        <family val="2"/>
        <charset val="204"/>
        <scheme val="minor"/>
      </rPr>
      <t>= 158,889Y = 158,889*0,0524</t>
    </r>
    <r>
      <rPr>
        <b/>
        <sz val="14"/>
        <color theme="1"/>
        <rFont val="Calibri"/>
        <family val="2"/>
        <charset val="204"/>
        <scheme val="minor"/>
      </rPr>
      <t xml:space="preserve"> = 8,33</t>
    </r>
  </si>
  <si>
    <r>
      <t xml:space="preserve">1,5X + 71,5Y = 1,5*8,33 + 71,5*0,0524 = 12,495 + 3,747 = </t>
    </r>
    <r>
      <rPr>
        <b/>
        <sz val="14"/>
        <color theme="1"/>
        <rFont val="Calibri"/>
        <family val="2"/>
        <charset val="204"/>
        <scheme val="minor"/>
      </rPr>
      <t>16,24</t>
    </r>
  </si>
  <si>
    <r>
      <t xml:space="preserve">Отношение стоимости двигателя к стоимости </t>
    </r>
    <r>
      <rPr>
        <b/>
        <sz val="14"/>
        <color rgb="FFFF0000"/>
        <rFont val="Calibri"/>
        <family val="2"/>
        <charset val="204"/>
        <scheme val="minor"/>
      </rPr>
      <t>ПЛАНЕРА</t>
    </r>
    <r>
      <rPr>
        <sz val="14"/>
        <color theme="1"/>
        <rFont val="Calibri"/>
        <family val="2"/>
        <charset val="204"/>
        <scheme val="minor"/>
      </rPr>
      <t xml:space="preserve"> равно 0,3. Отсюда:</t>
    </r>
  </si>
  <si>
    <r>
      <t xml:space="preserve">Отношение стоимости двигателя к стоимости </t>
    </r>
    <r>
      <rPr>
        <b/>
        <sz val="14"/>
        <color rgb="FFFF0000"/>
        <rFont val="Calibri"/>
        <family val="2"/>
        <charset val="204"/>
        <scheme val="minor"/>
      </rPr>
      <t>САМОЛЁТА</t>
    </r>
    <r>
      <rPr>
        <sz val="14"/>
        <color theme="1"/>
        <rFont val="Calibri"/>
        <family val="2"/>
        <charset val="204"/>
        <scheme val="minor"/>
      </rPr>
      <t xml:space="preserve"> равно 0,6. Отсюда:</t>
    </r>
  </si>
  <si>
    <t>Стоимость двигателя на дату оценки = Y*1,1*65 = 71,5Y</t>
  </si>
  <si>
    <t>X + 30Y = 10 млн.р.</t>
  </si>
  <si>
    <t>Стоимость двигателя на дату оценки = Y*1,3*60 = 78Y</t>
  </si>
  <si>
    <t>Стоимость самолета на дату оценки = 1,5X + 78Y</t>
  </si>
  <si>
    <r>
      <t xml:space="preserve">Отношение стоимости планера к стоимости </t>
    </r>
    <r>
      <rPr>
        <b/>
        <sz val="14"/>
        <color rgb="FFFF0000"/>
        <rFont val="Calibri"/>
        <family val="2"/>
        <charset val="204"/>
        <scheme val="minor"/>
      </rPr>
      <t>двигателя</t>
    </r>
    <r>
      <rPr>
        <sz val="14"/>
        <color theme="1"/>
        <rFont val="Calibri"/>
        <family val="2"/>
        <charset val="204"/>
        <scheme val="minor"/>
      </rPr>
      <t xml:space="preserve"> равно 0,3. Отсюда:</t>
    </r>
  </si>
  <si>
    <t>1,5X / 78Y = 0,3</t>
  </si>
  <si>
    <t>Из первого уравнения:</t>
  </si>
  <si>
    <t>X = 10 - 30Y</t>
  </si>
  <si>
    <t>Из второго уравнения</t>
  </si>
  <si>
    <t>1,5X = 0,3 * 78Y</t>
  </si>
  <si>
    <t>1,5X = 23,4Y</t>
  </si>
  <si>
    <t>X = 15,6Y</t>
  </si>
  <si>
    <t>Приравниваем правые части уравнений:</t>
  </si>
  <si>
    <t>10 - 30Y = 15,6Y</t>
  </si>
  <si>
    <t>10 = 15,6Y + 30Y</t>
  </si>
  <si>
    <t>10 = 45,6Y</t>
  </si>
  <si>
    <t>Y = 0,2193</t>
  </si>
  <si>
    <t>X = 15,6Y = 3,421</t>
  </si>
  <si>
    <t>Стоимость нового самолёта на дату оценки:</t>
  </si>
  <si>
    <r>
      <t xml:space="preserve">1,5 * 3,421 + 78 * 0,2193 = </t>
    </r>
    <r>
      <rPr>
        <b/>
        <sz val="14"/>
        <color theme="1"/>
        <rFont val="Calibri"/>
        <family val="2"/>
        <charset val="204"/>
        <scheme val="minor"/>
      </rPr>
      <t>22,237</t>
    </r>
  </si>
  <si>
    <t>5.2.1.109. Стоимость самолета, состоящего из двух частей - планера и двигателя на дату приобретения в 2018 году: 100 млн рублей. Двигатель производства России, цена на дату оценки в России выросли на 50 процентов. Планер импортный, здесь цены выросли в 1.1. Курс валюты при покупке самолета был 35 рублей, на дату оценки 70 рублей. Определить цену нового двигателя на дату оценки в 2021 году, если известно что его удельный вес в стоимости самолета на дату оценки - 30 процентов.</t>
  </si>
  <si>
    <t>Принимаем за X рублей стоимость двигателя на дату приобретения</t>
  </si>
  <si>
    <t>Принимаем за Y долларов стоимость планера на дату приобретения</t>
  </si>
  <si>
    <t>Стоимость двигателя на дату оценки = 1,5X</t>
  </si>
  <si>
    <t>X + 35Y = 100 млн.р.</t>
  </si>
  <si>
    <t>Стоимость планера на дату оценки = Y*1,1*70 = 77Y</t>
  </si>
  <si>
    <t>Стоимость самолета на дату оценки = 1,5X + 77Y</t>
  </si>
  <si>
    <r>
      <t xml:space="preserve">Отношение стоимости двигателя к стоимости </t>
    </r>
    <r>
      <rPr>
        <b/>
        <sz val="14"/>
        <color rgb="FFFF0000"/>
        <rFont val="Calibri"/>
        <family val="2"/>
        <charset val="204"/>
        <scheme val="minor"/>
      </rPr>
      <t>самолета</t>
    </r>
    <r>
      <rPr>
        <sz val="14"/>
        <color theme="1"/>
        <rFont val="Calibri"/>
        <family val="2"/>
        <charset val="204"/>
        <scheme val="minor"/>
      </rPr>
      <t xml:space="preserve"> равно 0,3. Отсюда:</t>
    </r>
  </si>
  <si>
    <t>1,5X / (1,5X + 77Y) = 0,3</t>
  </si>
  <si>
    <t>X = 100 - 35Y</t>
  </si>
  <si>
    <t>1,5X = 0,3 * (1,5X + 77Y)</t>
  </si>
  <si>
    <t>X = 0,3 * (1,5X + 77Y) / 1,5</t>
  </si>
  <si>
    <t>X = 0,2 * (1,5X + 77Y)</t>
  </si>
  <si>
    <t>X = 0,3X + 15,4Y</t>
  </si>
  <si>
    <t>X - 0,3X = 15,4Y</t>
  </si>
  <si>
    <t>0,7X = 15,4Y</t>
  </si>
  <si>
    <t>X = 22Y</t>
  </si>
  <si>
    <t>100 - 35Y = 22Y</t>
  </si>
  <si>
    <t>100 = 22Y + 35Y</t>
  </si>
  <si>
    <t>100 = 57Y</t>
  </si>
  <si>
    <t>Y = 1,7544</t>
  </si>
  <si>
    <r>
      <t xml:space="preserve">Стоимость нового </t>
    </r>
    <r>
      <rPr>
        <b/>
        <sz val="14"/>
        <color rgb="FFFF0000"/>
        <rFont val="Calibri"/>
        <family val="2"/>
        <charset val="204"/>
        <scheme val="minor"/>
      </rPr>
      <t>двигателя</t>
    </r>
    <r>
      <rPr>
        <sz val="14"/>
        <color theme="1"/>
        <rFont val="Calibri"/>
        <family val="2"/>
        <charset val="204"/>
        <scheme val="minor"/>
      </rPr>
      <t xml:space="preserve"> (не самолета) на дату оценки:</t>
    </r>
  </si>
  <si>
    <t>X = 22Y = 38,5968</t>
  </si>
  <si>
    <r>
      <t xml:space="preserve">1,5 * 38,5968 = </t>
    </r>
    <r>
      <rPr>
        <b/>
        <sz val="14"/>
        <color theme="1"/>
        <rFont val="Calibri"/>
        <family val="2"/>
        <charset val="204"/>
        <scheme val="minor"/>
      </rPr>
      <t>57,895</t>
    </r>
  </si>
  <si>
    <t>5.2.1.110. Агрегат состоит из станины, электрооборудования и прочих деталей. Стоимость новой станины 5 млн рублей, срок службы 40 лет; стоимость электрооборудования 2 млн рублей, срок службы 30 лет, стоимость прочих деталей 3 млн рублей, срок службы 20 лет. На дату оценки агрегат проработал 8 лет. Определите долю износа станины в износе агрегата на дату оценки.</t>
  </si>
  <si>
    <t>Срок службы станины, лет</t>
  </si>
  <si>
    <t>Стоимость новой станины</t>
  </si>
  <si>
    <t>Стоимость электрооборудования</t>
  </si>
  <si>
    <t>Срок службы электрооборудования, лет</t>
  </si>
  <si>
    <t>Стоимость прочих деталей</t>
  </si>
  <si>
    <t>Срок службы прочих, лет</t>
  </si>
  <si>
    <t>Фактический срок службы агрегата, лет</t>
  </si>
  <si>
    <t>Износ станины</t>
  </si>
  <si>
    <t>Износ электрооборудования</t>
  </si>
  <si>
    <t>Износ прочих</t>
  </si>
  <si>
    <t>Суммарный износ в рублях</t>
  </si>
  <si>
    <t>Доля износа станины в общем износе</t>
  </si>
  <si>
    <t>5.2.1.111. Агрегат состоит из станины, электрооборудования и прочих деталей. Стоимость новой станины 5 млн рублей, срок службы 40 лет; стоимость электрооборудования 2 млн рублей, срок службы 30 лет, стоимость прочих деталей 3 млн рублей, срок службы 20 лет. На дату оценки агрегат проработал 8 лет. Определите рыночную стоимость агрегата на дату оценки.</t>
  </si>
  <si>
    <t>Рыночная стоимость агрегата</t>
  </si>
  <si>
    <t>Индекс 2001-2011</t>
  </si>
  <si>
    <t>Земельный участок</t>
  </si>
  <si>
    <t>Плоащь, га</t>
  </si>
  <si>
    <t>РС ЗУ за 1 га</t>
  </si>
  <si>
    <t>РС ЗУ</t>
  </si>
  <si>
    <t>Общая площадь</t>
  </si>
  <si>
    <t>РС за 1 кв.м.</t>
  </si>
  <si>
    <t>Вспомогательное здание</t>
  </si>
  <si>
    <t>Стоимость замещения</t>
  </si>
  <si>
    <t>с учетом физического износа</t>
  </si>
  <si>
    <t>Железнодорожный парк</t>
  </si>
  <si>
    <t>Санаторий</t>
  </si>
  <si>
    <t>(ПВС 2011) х (индекс 2011-2018)</t>
  </si>
  <si>
    <t>(1+84%)</t>
  </si>
  <si>
    <t>комплекса</t>
  </si>
  <si>
    <t>Без учёта внешнего обесценения</t>
  </si>
  <si>
    <t>плюс вспомогательное здание (оно по условию специализированное)</t>
  </si>
  <si>
    <t>5.2.1.113. По состоянию на дату 01.01.2018 известно следующее: Производственная линия состоит из тестомесильного блока, формовочная машины и упаковочной части. Тестомесильный блок был куплен 2 года назад за 200 тыс. руб. с НДС (НДС 18%) с износом 60%, эффективный возраст был 5 лет. Формовочная машина куплена 5 лет назад новой, поставлена на баланс по балансовой стоимости 400 тыс.руб., срок службы 7 лет, из-за использования сырья хорошего качества износ машины в 1,2 раза ниже обычного. Два года назад был проведён ремонт, который увеличил остаточный срок на 1 год. Текущая рыночная стоимость упаковочной линии - 300 тыс. руб. с НДС, эффективный возраст 4 года, остаточный 7 лет. Ежегодное уменьшение цен 10%. Износ начисляется линейно, функциональное и внешнее устаревание не выявлено. Рассчитать рыночную стоимость в рублях (с НДС).</t>
  </si>
  <si>
    <t>Формовка</t>
  </si>
  <si>
    <t>Снижение ЭВ</t>
  </si>
  <si>
    <t>Уменьшение цен, а не рост</t>
  </si>
  <si>
    <t>Для формовки сразу добавляем НДС (поставлен на баланс, а не куплен)</t>
  </si>
  <si>
    <r>
      <t xml:space="preserve">Стоимость нового </t>
    </r>
    <r>
      <rPr>
        <sz val="14"/>
        <rFont val="Calibri"/>
        <family val="2"/>
        <charset val="204"/>
        <scheme val="minor"/>
      </rPr>
      <t>за год до</t>
    </r>
    <r>
      <rPr>
        <sz val="14"/>
        <color theme="1"/>
        <rFont val="Calibri"/>
        <family val="2"/>
        <charset val="204"/>
        <scheme val="minor"/>
      </rPr>
      <t>, с НДС</t>
    </r>
  </si>
  <si>
    <t>1 - нормальный износ, 1,5 - в полтора раза выше нормального, 0,83 - в 1,2 ниже</t>
  </si>
  <si>
    <t>5.2.1.114. Стоимость воспроизводства объекта 70000, параметр 40; цена нового аналога 90000, параметр 60. Коэффициент торможения по параметру 0,8. Определить размер функционального устаревания в процентах</t>
  </si>
  <si>
    <t>Цена нового</t>
  </si>
  <si>
    <t>Стоимость с учётом функц. износа</t>
  </si>
  <si>
    <t>Величина фунционального износа</t>
  </si>
  <si>
    <t>Индекс 2017 с НДС</t>
  </si>
  <si>
    <t>Стоимость нового в 2017 без НДС</t>
  </si>
  <si>
    <t>Индекс 2020 с НДС</t>
  </si>
  <si>
    <t>Удорожание 2017-2020 с НДС</t>
  </si>
  <si>
    <t>Стоимость нового в 2020 с НДС</t>
  </si>
  <si>
    <r>
      <t xml:space="preserve">Стоимость нового в 2017 с НДС </t>
    </r>
    <r>
      <rPr>
        <b/>
        <sz val="14"/>
        <color rgb="FFFF0000"/>
        <rFont val="Calibri"/>
        <family val="2"/>
        <charset val="204"/>
        <scheme val="minor"/>
      </rPr>
      <t>18%</t>
    </r>
  </si>
  <si>
    <r>
      <t xml:space="preserve">Стоимость нового в 2020 без НДС </t>
    </r>
    <r>
      <rPr>
        <b/>
        <sz val="14"/>
        <color rgb="FFFF0000"/>
        <rFont val="Calibri"/>
        <family val="2"/>
        <charset val="204"/>
        <scheme val="minor"/>
      </rPr>
      <t>20%</t>
    </r>
  </si>
  <si>
    <t>Новый аналог</t>
  </si>
  <si>
    <t>Возраст ОО</t>
  </si>
  <si>
    <t>Срок службы ОО</t>
  </si>
  <si>
    <t>Износ по рынку</t>
  </si>
  <si>
    <r>
      <t xml:space="preserve">5.2.1.117. Объект оценки – грузовой автомобиль с пробегом 600 тыс. км и возрастом 8 лет. Нормативный срок службы 10 лет. Стоимость нового аналога 1200 тыс. руб. Физический износ по данным справочника определяется по формуле Иф = 1 - exp(-ɷ). Зависимость ɷ для расчета износа для данного автомобиля: ɷ = 0,1*В + 0,003*П, где П - пробег, в тыс. км, а В - возраст транспортного средства в годах. По рыночным данным износ определяется по формуле: 1 - exp(-1,6 * Tэфф/Tнорм). Определить </t>
    </r>
    <r>
      <rPr>
        <b/>
        <sz val="14"/>
        <color rgb="FFFF0000"/>
        <rFont val="Calibri"/>
        <family val="2"/>
        <charset val="204"/>
        <scheme val="minor"/>
      </rPr>
      <t>износ</t>
    </r>
    <r>
      <rPr>
        <b/>
        <sz val="14"/>
        <color theme="1"/>
        <rFont val="Calibri"/>
        <family val="2"/>
        <charset val="204"/>
        <scheme val="minor"/>
      </rPr>
      <t xml:space="preserve"> объекта оценки.</t>
    </r>
  </si>
  <si>
    <t>Индекс 2010-2016</t>
  </si>
  <si>
    <t>Индекс 2016-2018</t>
  </si>
  <si>
    <t>Индекс 2013-2016</t>
  </si>
  <si>
    <t>Индекс 2013-2018</t>
  </si>
  <si>
    <t>Среднегодовое изменение цен</t>
  </si>
  <si>
    <t>Дата начала</t>
  </si>
  <si>
    <t>Дата окончания</t>
  </si>
  <si>
    <t>Количество месяцев</t>
  </si>
  <si>
    <t>5.2.1.119. Объект оценки – грузовой автомобиль с пробегом 600 тыс. км и возрастом 4 лет. Стоимость аналога 700 тыс. руб., возраст 5 лет. Нормативный срок службы 9 лет. Скидка на торг -10%. По рыночным данным износ определяется по формуле: 1- exp(-1,6 * Tэфф/Tнорм). Физический износ по данным справочника 1999 года определяется по формуле Иф = 1 - exp(-ɷ). Зависимость ɷ для расчета износа для данного автомобиля: ɷ = 0,1*В + 0,003*П, где П - пробег, в тыс. км, а В - возраст транспортного средства в годах. Определить корректировку на износ к аналогу в абсолютном выражении.</t>
  </si>
  <si>
    <t>Рыночная стоимость (в долях)</t>
  </si>
  <si>
    <t>Корректировка с учётом знака</t>
  </si>
  <si>
    <t>Корректировка с учётом знака в рублях</t>
  </si>
  <si>
    <t>5.2.1.121. По состоянию на дату 01.01.2017 известно следующее: Производственная линия состоит из тестомесильного блока, формовочная машины и упаковочной части. Тестомесильный блок был куплен 2 года назад за 200 тыс. руб. с НДС (НДС 18%) с износом 60%, эффективный возраст был 5 лет. Формовочная машина куплена 5 лет назад новой, поставлена на баланс по балансовой стоимости 400 тыс.руб., срок службы 7 лет, из-за использования сырья хорошего качества износ машины в 1,2 раза ниже обычного. Два года назад был проведён ремонт, который увеличил остаточный срок на 1 год. Текущая рыночная стоимость упаковочной линии - 300 тыс. руб. с НДС, эффективный возраст 4 года, остаточный 7 лет. Ежегодное уменьшение цен 10%. Износ начисляется линейно, функциональное и внешнее устаревание не выявлено. Рассчитать износ на 01.01.2016.</t>
  </si>
  <si>
    <t>Вариант расчета износа с учетом долей в стоимости</t>
  </si>
  <si>
    <t>5.2.2.34. Стоимость нового станка мощностью 11 кВт - 130 тыс. руб. Стоимость станка 9 кВт б/у с износом 60 %, предлагаемого к продаже на вторичном рынке 46 тыс. руб.; скидка на торг - 5 %. Определить коэффициент к цене аналога для объекта оценки - нового станка 9 кВт.</t>
  </si>
  <si>
    <t>Стоимость нового мощностью 11 кВт</t>
  </si>
  <si>
    <t>Износ станка б/у</t>
  </si>
  <si>
    <t>Цена предложения б/у 9 кВт с износом</t>
  </si>
  <si>
    <t>Стоимость б/у 9 кВт</t>
  </si>
  <si>
    <t>Стоимость нового 9 кВт</t>
  </si>
  <si>
    <t>Коэффициент для ОО 9 кВт</t>
  </si>
  <si>
    <t>5.2.2.35. Стоимость электродвигателя мощностью 10кВт - 50 тыс. руб. Формула зависимости цены электродвигателя в расчёте на 1 кВт: Ц = 6 - 0.1Р, где Р - мощность электродвигателя. Определить денежную корректировку для двигателя мощностью 15кВт.</t>
  </si>
  <si>
    <t>Стоимость двигателя 10 кВт</t>
  </si>
  <si>
    <t>Цена двигателя 15 кВт</t>
  </si>
  <si>
    <t>Цена 1 кВт двигателя 15 кВт</t>
  </si>
  <si>
    <t>Цена 1 кВт двигателя 10 кВт</t>
  </si>
  <si>
    <t>Цена двигателя 10 кВт</t>
  </si>
  <si>
    <t>5.2.2.36. Определить стоимость нового козлового крана (Г = 50, L = 16); L - длина пролета; Г - грузоподъемность. 
Стоимость определяется как: С = A * L + B * Г + D. 
Значения A, B и D неизвестны оценщику. Скидка на торг 10%. Оценщик обнаружил аналоги:
1. Г = 40; L = 10; Износ - 0%; цена предложения 10 000.
2. Г = 32; L = 24; Износ - 50%; цена сделки 9 500.
3. Г = 20; L = 24; Износ - 35%; цена предложения 12 000.</t>
  </si>
  <si>
    <t>Г</t>
  </si>
  <si>
    <t>L</t>
  </si>
  <si>
    <t>5.2.2.37. 4 балла. Необходимо определить рыночную стоимость станка (без НДС) производства Китай с ЧПУ по состоянию на 01.01.2015. Диаметр заготовок 600 мм. Нормативный срок службы таких станков 25 лет. Остаточный срок службы оцениваемого объекта 10 лет. 
Известно, что скидка на торг при продаже составляет 10%. Станки производства России дешевле европейских на 30%, а китайские станки дешевле европейских в 1,3 раза.
Стоимость станков с ЧПУ относительно стоимости таких же станков без ЧПУ на дату оценки составляет 100000 руб. (без учета НДС). Коэффициент торможения цены по диаметру заготовок 0,7. Износ происходит линейно. НДС до 01.01.2019 составлял 18%, после - 20%.
Оценщик искал информацию в 2018 году и установил следующие объекты:</t>
  </si>
  <si>
    <t>Тип цены</t>
  </si>
  <si>
    <t>Наличие НДС</t>
  </si>
  <si>
    <t>С НДС</t>
  </si>
  <si>
    <t>Цена, руб.</t>
  </si>
  <si>
    <t>Производство</t>
  </si>
  <si>
    <t>Европа</t>
  </si>
  <si>
    <t>Дата производства</t>
  </si>
  <si>
    <t>Дата публикации</t>
  </si>
  <si>
    <t>Имеются данные о динамике цен на станки без ЧПУ (индекс к базовому году):</t>
  </si>
  <si>
    <t>Производитель</t>
  </si>
  <si>
    <t>Китай</t>
  </si>
  <si>
    <t>Наименование</t>
  </si>
  <si>
    <t>Цена сделки с НДС</t>
  </si>
  <si>
    <t>КК</t>
  </si>
  <si>
    <t>Удельн. Цена</t>
  </si>
  <si>
    <t>Внимательно к году!</t>
  </si>
  <si>
    <t>Страна производства</t>
  </si>
  <si>
    <t>Дата оферты/сделки</t>
  </si>
  <si>
    <t>Дата оферты/сделки/оценки</t>
  </si>
  <si>
    <t>Коэфф. торможения</t>
  </si>
  <si>
    <t>Наличие ЧПУ</t>
  </si>
  <si>
    <t>с ЧПУ</t>
  </si>
  <si>
    <t>без ЧПУ</t>
  </si>
  <si>
    <t>Внимательно к типу цены!</t>
  </si>
  <si>
    <t>5.2.2.38. Объект оценки имеет мощность 12 кВт. Объект-аналог 1: сделка, цена 625 тыс. руб. мощность 10 кВт. Объект-аналог 2: предложение цена 650 тыс. руб., мощность 8 кВт. Коэффициент торможения по мощности 0,28. Рассчитайте уторгование для объекта оценки.</t>
  </si>
  <si>
    <t>Мощность</t>
  </si>
  <si>
    <t>Жёлтым выделено то, что известно</t>
  </si>
  <si>
    <t>Данные за 2016 год не берём. Доходный подход основан на будущих доходах.</t>
  </si>
  <si>
    <t>Текущая (рыночная) стоимость</t>
  </si>
  <si>
    <t>ЧОД 2017 / РС</t>
  </si>
  <si>
    <t>5.2.3.26. Рыночная стоимость оборудования 471 млн, ЧОД составляет 100 млн, темп роста 5%, ставка дисконтирования 15%. Найти оставшийся срок службы оборудования. Норма возврата капитала оценщику не известна.</t>
  </si>
  <si>
    <t>Текущая за все предыдущие годы</t>
  </si>
  <si>
    <t>5.2.3.27. Укажите формулу ставки дисконтирования, с учетом положительных темпов роста. СК - ставка капитализации, СД - ставка дисконтирования, НВ - норма возврата, ТР - темпы роста, Т - срок.
Варианты:
СД = СК + (НВ/(1+НВ)^T-1)) + ТР
СД = СК + НВ - ТР
СД = СК - (НВ/((1+НВ)^T-1)) + ТР
СД = СК - НВ-ТР
СД = СК + НВ + ТР
СД = СК - НВ + ТР</t>
  </si>
  <si>
    <t>Ставка капитализации = Ставка дисконтирования + Норма возврата - Темпы роста</t>
  </si>
  <si>
    <t>Переносим норму возврата и темпы роста в левую часть равенства. Получаем:</t>
  </si>
  <si>
    <t>СК - НВ + ТР = СД</t>
  </si>
  <si>
    <t>Ответ:</t>
  </si>
  <si>
    <t>СД = СК - НВ + ТР</t>
  </si>
  <si>
    <t>5.2.3.28. Укажите формулу ставки капитализации, с учетом положительных темпов роста. СК - ставка капитализации, СД - ставка дисконтирования, НВ - норма возврата, ТР - темпы роста, Т - срок.
Варианты ответа:
СК = СД + (НВ/(1+НВ)^T-1)) + ТР
СД = СК - НВ + Т
СК = СДК - (НВ/((1+НВ)^T-1)) + ТР
СК = СД - НВ - ТР
СК = СД + НВ + ТР
СК = СД + НВ - ТР</t>
  </si>
  <si>
    <t>5.2.3.29. Рыночная стоимость оборудования 435 млн. Чистый операционный доход составляет 100 млн. Темп роста 5%, ставка дисконтирования 20% на начало года. Найти оставшийся срок службы оборудования. Норма возврата капитала оценщику не известна.</t>
  </si>
  <si>
    <t>5.2.3.30. Рыночная стоимость оборудования 477 млн. Чистый операционный доход составляет 100 млн. Темп роста 5%, реальная ставка дисконтирования 15% на конец года. Найти оставшийся срок службы оборудования.</t>
  </si>
  <si>
    <t>Ставка дисконтирования реальная</t>
  </si>
  <si>
    <t>Функция =КПЕР</t>
  </si>
  <si>
    <t>5.2.3.31. 4 балла. Оборудование требует ремонта, его стоимость 200 тыс. руб. и будет оплачиваться равномерно на протяжении года. Стоимость ремонта в ценах на дату оценки. После этого оборудование может функционировать ещё 5 лет, после чего будет полностью изношено. Чистый операционный доход в текущих ценах 100 тыс. руб., операционные расходы 20 тыс. руб. Темп роста 5%. Ставка дисконтирования 15%. Дисконтирование на середину периода. Рассчитать стоимость.</t>
  </si>
  <si>
    <t>Мы не знаем номинальную ставку, а для реальной ставки необходимо использовать реальный поток</t>
  </si>
  <si>
    <t>В данной задаче можно использовать эту функцию, поскольку у нас аннуитет (ЧОД одинаковый во всех периодах)</t>
  </si>
  <si>
    <r>
      <t xml:space="preserve">5.2.1.99. 4 балла. Определить рыночную стоимость специализированной линии по производству чугунных заготовок на 01.01.2018 для залога </t>
    </r>
    <r>
      <rPr>
        <b/>
        <sz val="14"/>
        <color rgb="FFFF0000"/>
        <rFont val="Calibri"/>
        <family val="2"/>
        <charset val="204"/>
        <scheme val="minor"/>
      </rPr>
      <t>без НДС</t>
    </r>
    <r>
      <rPr>
        <b/>
        <sz val="14"/>
        <color theme="1"/>
        <rFont val="Calibri"/>
        <family val="2"/>
        <charset val="204"/>
        <scheme val="minor"/>
      </rPr>
      <t xml:space="preserve">.
Известны следующие данные об имуществе завода по производству чугунных изделий:
1. Административное здание заводоуправления площадью 2000 кв.м, расположено на обособленном участке земли площадью 0,4 га. </t>
    </r>
    <r>
      <rPr>
        <b/>
        <sz val="14"/>
        <color rgb="FFFF0000"/>
        <rFont val="Calibri"/>
        <family val="2"/>
        <charset val="204"/>
        <scheme val="minor"/>
      </rPr>
      <t xml:space="preserve">Данные для расчета стоимости: ставка аренды для аналогичных объектов </t>
    </r>
    <r>
      <rPr>
        <b/>
        <sz val="14"/>
        <color rgb="FF7030A0"/>
        <rFont val="Calibri"/>
        <family val="2"/>
        <charset val="204"/>
        <scheme val="minor"/>
      </rPr>
      <t>зданий</t>
    </r>
    <r>
      <rPr>
        <b/>
        <sz val="14"/>
        <color rgb="FFFF0000"/>
        <rFont val="Calibri"/>
        <family val="2"/>
        <charset val="204"/>
        <scheme val="minor"/>
      </rPr>
      <t>: 4600 руб. за 1 кв.м здания в год без учета НДС; рыночные потери от недозагрузки 9%, операционные расходы 15% от действительного валового дохода; безрисковая ставка 6%, рыночная норма доходности инвестиций в аналогичные объекты 11%. Норму возврата определить по методу Хоскольда, при том, что оставшийся срок экономической жизни здания 50 лет. Рыночная стоимость земельного участка 2,3 млн рублей.</t>
    </r>
    <r>
      <rPr>
        <b/>
        <sz val="14"/>
        <color theme="1"/>
        <rFont val="Calibri"/>
        <family val="2"/>
        <charset val="204"/>
        <scheme val="minor"/>
      </rPr>
      <t xml:space="preserve">
2. Рыночная стоимость производственного здания площадью 20000 кв.м, расположенного на обособленном участке земли площадью 12 га, - 180 млн руб. без учета НДС.
3. Рыночная стоимость автотранспортного парка, обслуживающего завод - 35 млн руб. без учета НДС.
4. Линия по подготовке заготовок для производства чугунных изделий. Полная восстановительная стоимость 75 млн руб. без НДС. Срок службы 15 лет. Эффективный возраст 7 лет.
5. В составе имущества завода есть пансионат на Черном море стоимостью рыночной стоимостью 185 млн руб. с НДС.
6. Прочие активы. Все прочие активы являются специализированными и задействованы в производстве продукции предприятия. Затраты на замещение как новых данных прочих активов по состоянию на дату оценки составляет 540 млн руб.(без НДС). Физический износ 20% активов (в стоимостном выражении) составляет 20%, 30 % активов – 30%, 50% активов – 50%.
Оцениваемая линия приобретена и установлена в начале 2013 г. Первоначальная стоимость 110 млн руб.(без НДС). Нормативный срок службы 15 лет. Износ начисляется линейно. </t>
    </r>
    <r>
      <rPr>
        <b/>
        <sz val="14"/>
        <color rgb="FFFF0000"/>
        <rFont val="Calibri"/>
        <family val="2"/>
        <charset val="204"/>
        <scheme val="minor"/>
      </rPr>
      <t>Остаточный срок службы</t>
    </r>
    <r>
      <rPr>
        <b/>
        <sz val="14"/>
        <color theme="1"/>
        <rFont val="Calibri"/>
        <family val="2"/>
        <charset val="204"/>
        <scheme val="minor"/>
      </rPr>
      <t xml:space="preserve"> 11 лет. Индекс изменения стоимости аналогичного оборудования с 01.01.2001 по 01.01.2018 равен 12,4, индекс с 01.01.2001 по 01.01.2013 – 15,6. На дату оценки по цене, равной стоимости воспроизводства, определенной оценщиком методом индексации, можно приобрести линию, у которой производительность выше чем у оцениваемой на 10%.
Стоимость </t>
    </r>
    <r>
      <rPr>
        <b/>
        <sz val="14"/>
        <color rgb="FFFF0000"/>
        <rFont val="Calibri"/>
        <family val="2"/>
        <charset val="204"/>
        <scheme val="minor"/>
      </rPr>
      <t>операционного</t>
    </r>
    <r>
      <rPr>
        <b/>
        <sz val="14"/>
        <color theme="1"/>
        <rFont val="Calibri"/>
        <family val="2"/>
        <charset val="204"/>
        <scheme val="minor"/>
      </rPr>
      <t xml:space="preserve"> имущества завода в рамках доходного подхода по состоянию на дату оценки составляет 600 млн руб.(без НДС).</t>
    </r>
  </si>
  <si>
    <r>
      <t xml:space="preserve">5.2.1.104. Стоимость самолета, состоящего из двух частей - планера и двигателя на дату приобретения: 100 млн. руб. Планер - американский. Двигатель - РФ. Индексы цен с даты приобретения до даты оценки: рост цен в США в 1,1 раза, рост цен в РФ: на 50%. Определить стоимость нового самолета на дату оценки (без учета износа и устареваний), если курс доллара на дату приобретения - 30, на дату оценки - 65, доля двигателя в стоимости самолета </t>
    </r>
    <r>
      <rPr>
        <b/>
        <sz val="14"/>
        <color rgb="FFFF0000"/>
        <rFont val="Calibri"/>
        <family val="2"/>
        <charset val="204"/>
        <scheme val="minor"/>
      </rPr>
      <t>на дату оценки</t>
    </r>
    <r>
      <rPr>
        <b/>
        <sz val="14"/>
        <color theme="1"/>
        <rFont val="Calibri"/>
        <family val="2"/>
        <charset val="204"/>
        <scheme val="minor"/>
      </rPr>
      <t xml:space="preserve"> - 60 %.</t>
    </r>
  </si>
  <si>
    <r>
      <t xml:space="preserve">5.2.1.107. Стоимость самолета, состоящего из двух частей - планера и двигателя на дату приобретения: 10 млн. руб. Планер производства Россия, двигатели производства США. Коэффициент изменения цен на дату оценки для отечественных планеров 1,5. Определите стоимость нового самолета на дату оценки (без учета износа и устареваний) на дату оценки, если курс доллара на момент приобретения составлял 32 руб, на момент оценки 65 руб. Цена импортных двигателей в стране производствах увеличилась в 1,1 раза и их стоимость составляет 30% </t>
    </r>
    <r>
      <rPr>
        <b/>
        <sz val="14"/>
        <color rgb="FFFF0000"/>
        <rFont val="Calibri"/>
        <family val="2"/>
        <charset val="204"/>
        <scheme val="minor"/>
      </rPr>
      <t>от стоимости планера</t>
    </r>
    <r>
      <rPr>
        <b/>
        <sz val="14"/>
        <color theme="1"/>
        <rFont val="Calibri"/>
        <family val="2"/>
        <charset val="204"/>
        <scheme val="minor"/>
      </rPr>
      <t>.</t>
    </r>
  </si>
  <si>
    <r>
      <t xml:space="preserve">5.2.1.108. Стоимость самолета, состоящего из двух частей - планера и двигателя на дату приобретения в 2007 году: 10 млн рублей. Планер производства Россия, двигатели производства США. Рост цен на аналогичное оборудование производства США 1,3; рост цен на аналогичное оборудование производства России - 50,0%. Курс рубля на 2007 год - 30 рублей/ доллар, на дату оценки - 60 руб/доллар, Определить стоимость нового самолета (без учета износа и устареваний) на дату оценки в 2021 году, при условии что стоимость планера составляет 30% </t>
    </r>
    <r>
      <rPr>
        <b/>
        <sz val="14"/>
        <color rgb="FFFF0000"/>
        <rFont val="Calibri"/>
        <family val="2"/>
        <charset val="204"/>
        <scheme val="minor"/>
      </rPr>
      <t>от стоимости двигателя</t>
    </r>
    <r>
      <rPr>
        <b/>
        <sz val="14"/>
        <color theme="1"/>
        <rFont val="Calibri"/>
        <family val="2"/>
        <charset val="204"/>
        <scheme val="minor"/>
      </rPr>
      <t>.</t>
    </r>
  </si>
  <si>
    <r>
      <t xml:space="preserve">5.2.1.112. Определить рыночную стоимость специализированной линии по производству чугунных заготовок на 01.01.2018 для залога </t>
    </r>
    <r>
      <rPr>
        <b/>
        <sz val="14"/>
        <color rgb="FFFF0000"/>
        <rFont val="Calibri"/>
        <family val="2"/>
        <charset val="204"/>
        <scheme val="minor"/>
      </rPr>
      <t>без учета НДС</t>
    </r>
    <r>
      <rPr>
        <b/>
        <sz val="14"/>
        <color theme="1"/>
        <rFont val="Calibri"/>
        <family val="2"/>
        <charset val="204"/>
        <scheme val="minor"/>
      </rPr>
      <t xml:space="preserve">.
Объект оценки приобретен в 2011 году, первоначальная стоимость 115 млн руб. без НДС. В период с 2001 по 2018 гг. цены выросли на 84%. В период с 2001 по 2011 гг. цены выросли 2,56 раза. Нормативный срок службы 18 лет. </t>
    </r>
    <r>
      <rPr>
        <b/>
        <sz val="14"/>
        <color rgb="FFFF0000"/>
        <rFont val="Calibri"/>
        <family val="2"/>
        <charset val="204"/>
        <scheme val="minor"/>
      </rPr>
      <t>Эффективный возраст</t>
    </r>
    <r>
      <rPr>
        <b/>
        <sz val="14"/>
        <color theme="1"/>
        <rFont val="Calibri"/>
        <family val="2"/>
        <charset val="204"/>
        <scheme val="minor"/>
      </rPr>
      <t xml:space="preserve"> 10 лет.
Линия входит в состав имущественного комплекса завода. В имущественный комплекс входят ещё:
1. Административное здание, расположенное на обособленном земельном участке площадью 2 га. ЧОД </t>
    </r>
    <r>
      <rPr>
        <b/>
        <sz val="14"/>
        <color rgb="FFFF0000"/>
        <rFont val="Calibri"/>
        <family val="2"/>
        <charset val="204"/>
        <scheme val="minor"/>
      </rPr>
      <t>комплекса</t>
    </r>
    <r>
      <rPr>
        <b/>
        <sz val="14"/>
        <color theme="1"/>
        <rFont val="Calibri"/>
        <family val="2"/>
        <charset val="204"/>
        <scheme val="minor"/>
      </rPr>
      <t xml:space="preserve"> по состоянию на дату оценки составляет 10 млн. руб. в год без НДС. Коэффициент капитализации 0,13. Рыночная стоимость земельного участка под административным зданием на дату оценки 300 000 руб. за сотку.
2. Земельный участок промплощадки площадью 77 га производственного назначения, с расположенными на нем основными производственными зданиями. Рыночная стоимость земельного участка на дату оценки 1,13 млн руб. за 1 га.
3. Производственное здание общепроизводственного назначения площадью 10500 кв. м, рыночной стоимостью 5500 руб. за 1 кв. м. без НДС, без учета стоимости земельного участка.
4. Вспомогательное </t>
    </r>
    <r>
      <rPr>
        <b/>
        <sz val="14"/>
        <color rgb="FFFF0000"/>
        <rFont val="Calibri"/>
        <family val="2"/>
        <charset val="204"/>
        <scheme val="minor"/>
      </rPr>
      <t>специализированное</t>
    </r>
    <r>
      <rPr>
        <b/>
        <sz val="14"/>
        <color theme="1"/>
        <rFont val="Calibri"/>
        <family val="2"/>
        <charset val="204"/>
        <scheme val="minor"/>
      </rPr>
      <t xml:space="preserve"> здание для размещения линии подготовки заготовок, стоимость замещения на дату оценки составляет 8,85 млн руб. без НДС, накопленный физический износ на дату оценки 35%.
5. Железнодорожный парк, участвующий в производственном процессе, рыночная стоимость ж/д парка составляет 45,56 млн руб. без учета НДС.
6. На балансе предприятия числится санаторий в Хакасии рыночной стоимостью 271,2 млн. руб. с НДС.
7. Линия по подготовке заготовок, полная восстановительная стоимость на дату оценки 75 млн руб. без НДС, срок службы 15 лет, эффективный возраст 7 лет.
8. Все прочие активы являются специализированными и задействованы в производстве продукции предприятия. Затраты на замещение как новых данных прочих активов по состоянию на дату оценки составляет 1015 млн. руб. без НДС. Физический износ 20% активов (в стоимостном выражении) составляет 28%, 30% активов – 38%, 50% активов – 57%. Стоимость </t>
    </r>
    <r>
      <rPr>
        <b/>
        <sz val="14"/>
        <color rgb="FFFF0000"/>
        <rFont val="Calibri"/>
        <family val="2"/>
        <charset val="204"/>
        <scheme val="minor"/>
      </rPr>
      <t>операционного</t>
    </r>
    <r>
      <rPr>
        <b/>
        <sz val="14"/>
        <color theme="1"/>
        <rFont val="Calibri"/>
        <family val="2"/>
        <charset val="204"/>
        <scheme val="minor"/>
      </rPr>
      <t xml:space="preserve"> имущества завода в рамках доходного подхода по состоянию на дату оценки составляет 800 млн руб. (без НДС).</t>
    </r>
  </si>
  <si>
    <r>
      <t xml:space="preserve">5.2.1.115. Стоимость нового оборудования в 2017 году - 100 000 рублей </t>
    </r>
    <r>
      <rPr>
        <b/>
        <sz val="14"/>
        <color rgb="FFFF0000"/>
        <rFont val="Calibri"/>
        <family val="2"/>
        <charset val="204"/>
        <scheme val="minor"/>
      </rPr>
      <t>без НДС</t>
    </r>
    <r>
      <rPr>
        <b/>
        <sz val="14"/>
        <color theme="1"/>
        <rFont val="Calibri"/>
        <family val="2"/>
        <charset val="204"/>
        <scheme val="minor"/>
      </rPr>
      <t xml:space="preserve">. Определите стоимость нового оборудования </t>
    </r>
    <r>
      <rPr>
        <b/>
        <sz val="14"/>
        <color rgb="FFFF0000"/>
        <rFont val="Calibri"/>
        <family val="2"/>
        <charset val="204"/>
        <scheme val="minor"/>
      </rPr>
      <t>без НДС</t>
    </r>
    <r>
      <rPr>
        <b/>
        <sz val="14"/>
        <color theme="1"/>
        <rFont val="Calibri"/>
        <family val="2"/>
        <charset val="204"/>
        <scheme val="minor"/>
      </rPr>
      <t xml:space="preserve"> на середину 2020 года. Известны данные по удорожанию стоимости оборудования </t>
    </r>
    <r>
      <rPr>
        <b/>
        <sz val="14"/>
        <color rgb="FFFF0000"/>
        <rFont val="Calibri"/>
        <family val="2"/>
        <charset val="204"/>
        <scheme val="minor"/>
      </rPr>
      <t>с учетом НДС</t>
    </r>
    <r>
      <rPr>
        <b/>
        <sz val="14"/>
        <color theme="1"/>
        <rFont val="Calibri"/>
        <family val="2"/>
        <charset val="204"/>
        <scheme val="minor"/>
      </rPr>
      <t xml:space="preserve"> к базовому году. Индексы приведены на середину года.
2016 - 110; 2017 - 118; 2018 - 129; 2019 - 137; 2020 - 150</t>
    </r>
  </si>
  <si>
    <r>
      <t xml:space="preserve">5.2.1.116. Стоимость нового оборудования в 2017 году - 100 000 рублей </t>
    </r>
    <r>
      <rPr>
        <b/>
        <sz val="14"/>
        <color rgb="FFFF0000"/>
        <rFont val="Calibri"/>
        <family val="2"/>
        <charset val="204"/>
        <scheme val="minor"/>
      </rPr>
      <t>без НДС</t>
    </r>
    <r>
      <rPr>
        <b/>
        <sz val="14"/>
        <color theme="1"/>
        <rFont val="Calibri"/>
        <family val="2"/>
        <charset val="204"/>
        <scheme val="minor"/>
      </rPr>
      <t xml:space="preserve">. Определите стоимость нового оборудования </t>
    </r>
    <r>
      <rPr>
        <b/>
        <sz val="14"/>
        <color rgb="FFFF0000"/>
        <rFont val="Calibri"/>
        <family val="2"/>
        <charset val="204"/>
        <scheme val="minor"/>
      </rPr>
      <t>с НДС</t>
    </r>
    <r>
      <rPr>
        <b/>
        <sz val="14"/>
        <color theme="1"/>
        <rFont val="Calibri"/>
        <family val="2"/>
        <charset val="204"/>
        <scheme val="minor"/>
      </rPr>
      <t xml:space="preserve"> на середину 2020 года. Известны данные по удорожанию стоимости оборудования </t>
    </r>
    <r>
      <rPr>
        <b/>
        <sz val="14"/>
        <color rgb="FFFF0000"/>
        <rFont val="Calibri"/>
        <family val="2"/>
        <charset val="204"/>
        <scheme val="minor"/>
      </rPr>
      <t>с учетом НДС</t>
    </r>
    <r>
      <rPr>
        <b/>
        <sz val="14"/>
        <color theme="1"/>
        <rFont val="Calibri"/>
        <family val="2"/>
        <charset val="204"/>
        <scheme val="minor"/>
      </rPr>
      <t xml:space="preserve"> к базовому году. Индексы приведены на середину года.
2016 - 110; 2017 - 118; 2018 - 129; 2019 - 137; 2020 - 150</t>
    </r>
  </si>
  <si>
    <t>Решение через пересчёт долей</t>
  </si>
  <si>
    <t>Планер</t>
  </si>
  <si>
    <t>Двигатель</t>
  </si>
  <si>
    <t>Всего</t>
  </si>
  <si>
    <t>Курс на дату покупки</t>
  </si>
  <si>
    <r>
      <t xml:space="preserve">Доля на дату </t>
    </r>
    <r>
      <rPr>
        <sz val="14"/>
        <color rgb="FFFF0000"/>
        <rFont val="Calibri"/>
        <family val="2"/>
        <charset val="204"/>
        <scheme val="minor"/>
      </rPr>
      <t>оценки</t>
    </r>
  </si>
  <si>
    <t>Относительная стоимость при покупке</t>
  </si>
  <si>
    <t>Стоимость на дату покупки</t>
  </si>
  <si>
    <r>
      <t xml:space="preserve">Доля на дату </t>
    </r>
    <r>
      <rPr>
        <sz val="14"/>
        <color rgb="FFFF0000"/>
        <rFont val="Calibri"/>
        <family val="2"/>
        <charset val="204"/>
        <scheme val="minor"/>
      </rPr>
      <t>покупки</t>
    </r>
  </si>
  <si>
    <t>5.2.1.122. Рассчитать стоимость смонтированного оборудования, произведенного в Венгрии и установленного в Самаре. Стоимость оборудования 500000, доставка 50000, пошлины 20000, страхование 10000, демонтаж 30000.</t>
  </si>
  <si>
    <t>Пошлины</t>
  </si>
  <si>
    <t>Страхование</t>
  </si>
  <si>
    <t>Демонтаж</t>
  </si>
  <si>
    <t>5.2.1.123. Рассчитайте стоимость установленной турбины, страна производства Венгрия, установлена в Самарской области. Стоимость турбины 550 тыс.
1. Затраты на доставку 50 тыс.
2. Затраты на монтаж и пуско-наладку 30 тыс.
3. Расходы на страхование при доставке 10 тыс.
4. Затраты на демонтаж 20 тыс.</t>
  </si>
  <si>
    <t>Стоимость турбины</t>
  </si>
  <si>
    <t>Страхование при доставке</t>
  </si>
  <si>
    <t>Остаточная балансовая на 01.01.2017</t>
  </si>
  <si>
    <t>Амортизация на 01.01.2017</t>
  </si>
  <si>
    <t>Первая часть оплаты</t>
  </si>
  <si>
    <t>СМР</t>
  </si>
  <si>
    <t>Вторая часть оплаты</t>
  </si>
  <si>
    <t>Пошлина на дату контракта</t>
  </si>
  <si>
    <t>Пошлина на дату оценки</t>
  </si>
  <si>
    <t>Возраст российского агрегата, лет</t>
  </si>
  <si>
    <t>Срок службы российского агрегата, лет</t>
  </si>
  <si>
    <t>Возраст линии, лет</t>
  </si>
  <si>
    <t>Эффективный возраст линии, лет</t>
  </si>
  <si>
    <t>уменьшился на 2 года в 2015 году</t>
  </si>
  <si>
    <t>Произведена 30.06.2009</t>
  </si>
  <si>
    <t>Произведены 30.08.2009</t>
  </si>
  <si>
    <t>Произведена 30.12.2009</t>
  </si>
  <si>
    <t>31.12.2009 года = 01.01.2010 года</t>
  </si>
  <si>
    <t>Увеличение ПВС после переоценки</t>
  </si>
  <si>
    <t>31.12.2014г.= 01.01.2015г.</t>
  </si>
  <si>
    <t>Евро</t>
  </si>
  <si>
    <t>Цены на российское оборудование</t>
  </si>
  <si>
    <t>Цены на импортное оборудование</t>
  </si>
  <si>
    <t>Цены на СМР</t>
  </si>
  <si>
    <t>От стоимости оборудования</t>
  </si>
  <si>
    <t>Начало службы российского агрегата</t>
  </si>
  <si>
    <t>Постановка на баланс</t>
  </si>
  <si>
    <t>Второй платёж</t>
  </si>
  <si>
    <t>Первый платёж</t>
  </si>
  <si>
    <t>В Евро</t>
  </si>
  <si>
    <t>В Евро без пошлины на дату контракта</t>
  </si>
  <si>
    <t>Индекс на дату контракта</t>
  </si>
  <si>
    <t>В Евро без пошлины на дату оценки</t>
  </si>
  <si>
    <t>В Евро с пошлиной на дату оценки</t>
  </si>
  <si>
    <t>Курс Евро на дату контракта</t>
  </si>
  <si>
    <t>В рублях на дату контракта</t>
  </si>
  <si>
    <t>Курс Евро на дату оценки</t>
  </si>
  <si>
    <t>В рублях с пошлиной на дату оценки</t>
  </si>
  <si>
    <t>ПВС на 30.12.2009</t>
  </si>
  <si>
    <t>ПВС на 01.01.2015</t>
  </si>
  <si>
    <t>Стоимость российского агрегата</t>
  </si>
  <si>
    <t>На дату приобретения</t>
  </si>
  <si>
    <t>Индекс на дату приобретения агрегата</t>
  </si>
  <si>
    <t>Стоимость агрегата на дату оценки</t>
  </si>
  <si>
    <t>Агрегат</t>
  </si>
  <si>
    <t>Линия</t>
  </si>
  <si>
    <t>Хронологиеский возраст</t>
  </si>
  <si>
    <t>Эффективный возрасть на дату оценки</t>
  </si>
  <si>
    <t>Уменьшился на 2 года</t>
  </si>
  <si>
    <t>Износ = 1 - exp(-1,6хTэф/Тсс)</t>
  </si>
  <si>
    <t>ИТОГО</t>
  </si>
  <si>
    <t>ПВС на дату оценки</t>
  </si>
  <si>
    <t>ИТОГО рыночная</t>
  </si>
  <si>
    <t>С пошлиной внутри</t>
  </si>
  <si>
    <t>5.2.1.124. Определить рыночную стоимость импортной линии без НДС на 01.01.2017 для целей получения кредита. Определено, что ликвидационная стоимость меньше рыночной на 20%.
Остаточная балансовая стоимость производственной линии на дату оценки и величина амортизации составляют соответственно 729600000 и 85200000 руб.
Дата постановки линии на баланс — 31.12.2009 г. С этой же даты начинает идти срок эксплуатации. Срок службы 17 лет.
Оценщик получил данные о порядке постановки на учет:
30.06.2009 — 299 000 000 руб. - первая часть оплаты поставки линии от зарубежного поставщика
30.08.2009 — 115 000 000 руб. — оплата СМР в России
30.12.2009 — 265 000 000 руб. - оплата второй части за производственную линию от зарубежного поставщика
Пошлина составила 25% от стоимости оборудования на дату контракта; на дату оценки она составляет 15%. Все остальные затраты на поставку включены в контракт.
В 2014 году была произведена модернизация линии: на линии был установлен дополнительно российский агрегат. Начало эксплуатации агрегата 01.01.2015, срок службы агрегата 9 лет.
В 2015 году был произведен капитальный ремонт линии, в результате чего эффективный возраст линии уменьшился на 2 года. Агрегат капитальный ремонт в 2015 году не проходил.
31.12.2014 была произведена переоценка балансовой стоимости линии, благодаря чему полная (восстановительная) стоимость выросла на 20% (процесса амортизации это никак не коснулось).
Расчет износа произвести по формуле: 1-ехр(-1,6хТэф/Тсс).</t>
  </si>
  <si>
    <t>Износ отрицательный, значит его нет</t>
  </si>
  <si>
    <t>5.2.1.125. Агрегат состоит из станины, электрооборудования и прочих деталей. Стоимость новой станины 5 млн рублей, срок службы 40 лет; стоимость электрооборудования 2 млн рублей, срок службы 30 лет, стоимость прочих деталей 3 млн рублей, срок службы 20 лет. На дату оценки агрегат проработал 8 лет, ремонт не проводился. Определите остаточный ресурс службы агрегата в процентах.</t>
  </si>
  <si>
    <t>Станина</t>
  </si>
  <si>
    <t>Электро</t>
  </si>
  <si>
    <t>Остаточный ресурс</t>
  </si>
  <si>
    <t>5.2.1.127. 4 балла.
Определить рыночную стоимость импортной линии без НДС на 01.01.2017 для целей получения кредита. Определено, что ликвидационная стоимость меньше рыночной на 20%.
Остаточная балансовая стоимость производственной линии на дату оценки и величина амортизации составляют соответственно 115876235 руб. и 27305890 руб.
Дата постановки линии на баланс — 31.12.2009 г. С этой же даты начинает идти срок эксплуатации. Срок службы 17 лет.
Оценщик получил данные о том, что 30.08.2008 г. была произведена полная оплата линии в размере аванса 100%.
Пошлина составила 25% от стоимости оборудования на дату контракта; на дату оценки она составляет 15%. Все остальные затраты на поставку включены в контракт.
В процессе оценки оценщиком была получена информация, что в составе стоимости линии на балансе учитываются модернизация и капитальный ремонт.
Модернизация линии была произведена в 2014 году: на линии был установлен дополнительно российский агрегат стоимостью 5280000 руб. без НДС. Начало эксплуатации агрегата 01.01.2015, срок службы агрегата 9 лет.
Капитальный ремонт линии был произведен в 2015 году, в результате чего эффективный возраст линии уменьшился на 3 года. Стоимость капитального ремонта 2540000 руб. без НДС.
31.12.2014 была произведена переоценка балансовой стоимости линии, благодаря чему полная (восстановительная) стоимость выросла на 30% (процесса амортизации это никак не коснулось).
Износ насчисляется линейно. Для целей оценки износ агрегата на дату оценки принять равным износу линии.</t>
  </si>
  <si>
    <t>Дата поставновки на баланс</t>
  </si>
  <si>
    <t>Оплата аванса 100%</t>
  </si>
  <si>
    <t>Установка агрегата</t>
  </si>
  <si>
    <t>уменьшился на 3 года в 2015 году</t>
  </si>
  <si>
    <t>ПВС по балансу на дату оценки</t>
  </si>
  <si>
    <t>Остаточная балансовая + Амортизация</t>
  </si>
  <si>
    <t>Стоимость капремента</t>
  </si>
  <si>
    <t>Стоимость агрегата</t>
  </si>
  <si>
    <t>ПВС без капремонта</t>
  </si>
  <si>
    <t>ПВС до переоценки</t>
  </si>
  <si>
    <t>С учетом пошлины</t>
  </si>
  <si>
    <t>ПВС без агрегата</t>
  </si>
  <si>
    <t>ПВС без агрегата и пошлины</t>
  </si>
  <si>
    <t>ПВС без агрегата и пошлины в Евро</t>
  </si>
  <si>
    <t>ПВС на дату оценки без пошлины, Евро</t>
  </si>
  <si>
    <t>ПВС на дату оценки без пошлины, руб</t>
  </si>
  <si>
    <t>ПВС на дату оценки с пошлиной, руб</t>
  </si>
  <si>
    <t>Агрегат на дату приобретения</t>
  </si>
  <si>
    <t>Индекс агрегата на дату приобретения</t>
  </si>
  <si>
    <t>Индекс агрегата на дату оценки</t>
  </si>
  <si>
    <t>Новый агрегат на дату оценки</t>
  </si>
  <si>
    <t>Линия + Агрегат на дату оценки</t>
  </si>
  <si>
    <t>Эффективный возраст на дату оценки</t>
  </si>
  <si>
    <t>Уменьшился на 3 года после капремонта</t>
  </si>
  <si>
    <r>
      <rPr>
        <b/>
        <sz val="14"/>
        <color rgb="FFFF0000"/>
        <rFont val="Calibri"/>
        <family val="2"/>
        <charset val="204"/>
        <scheme val="minor"/>
      </rPr>
      <t>ВСЁ</t>
    </r>
    <r>
      <rPr>
        <b/>
        <sz val="14"/>
        <color theme="1"/>
        <rFont val="Calibri"/>
        <family val="2"/>
        <charset val="204"/>
        <scheme val="minor"/>
      </rPr>
      <t xml:space="preserve"> имущество по доходному</t>
    </r>
  </si>
  <si>
    <r>
      <t xml:space="preserve">С учётом внешнего обесценения </t>
    </r>
    <r>
      <rPr>
        <b/>
        <i/>
        <sz val="14"/>
        <color rgb="FFFF0000"/>
        <rFont val="Calibri"/>
        <family val="2"/>
        <charset val="204"/>
        <scheme val="minor"/>
      </rPr>
      <t>БЕЗ НДС</t>
    </r>
  </si>
  <si>
    <t>РС объекта оценки без НДС</t>
  </si>
  <si>
    <t>Стоимость всех активов по доходному за вычетом стоимости всех неспециализированных И САНАТОРИЯ</t>
  </si>
  <si>
    <t>Внешнее обесценение</t>
  </si>
  <si>
    <r>
      <t xml:space="preserve">РС объекта оценки </t>
    </r>
    <r>
      <rPr>
        <b/>
        <sz val="14"/>
        <color rgb="FFFF0000"/>
        <rFont val="Calibri"/>
        <family val="2"/>
        <charset val="204"/>
        <scheme val="minor"/>
      </rPr>
      <t>с НДС</t>
    </r>
  </si>
  <si>
    <t>5.2.1.129. Новый самолет стоит 10 млн.руб. Срок службы двигателя самолета до капитального ремонта составляет 10 лет. Нормативный налет двигателя составляет 30000 часов. Нормативный показатель двигателя по взлетам-посадкам составляет 12000. Среднегодовые показатели налетов составляют: по налетам - 3500 часов, по взлетам-посадкам - 1200 взлетов-посадок. Определить рыночную стоимость самолета, если самолет эксплуатируется 4 года. Износ начисляется линейно.</t>
  </si>
  <si>
    <t>Новый самолёт</t>
  </si>
  <si>
    <t>Срок службы до капремонта, лет</t>
  </si>
  <si>
    <t>Нормативный налёт двигателя, часов</t>
  </si>
  <si>
    <t>Норматив взлётов-посадок</t>
  </si>
  <si>
    <t>Среднегодовой налёт, часов</t>
  </si>
  <si>
    <t>Среднегодовые взлёты-посадки</t>
  </si>
  <si>
    <t>Срок эксплуатации, лет</t>
  </si>
  <si>
    <t>Износ по капремонту</t>
  </si>
  <si>
    <t>Износ по налёту двигателя</t>
  </si>
  <si>
    <t>Износ по взлётам-посадкам</t>
  </si>
  <si>
    <t>5.2.1.130. По состоянию на дату 01.01.2017 известно следующее: Производственная линия состоит из тестомесильного блока, формовочная машины и упаковочной части. Тестомесильный блок был куплен 2 года назад за 200 тыс. руб. с НДС (НДС 18%) с износом 50%, эффективный возраст был 4 года. Формовочная машина куплена 5 лет назад новой, поставлена на баланс по балансовой стоимости 400 тыс.руб., срок службы 7 лет, из-за использования сырья хорошего качества износ машины в 1,2 раза ниже обычного. Два года назад был проведён ремонт, который увеличил остаточный срок на 1 год. Текущая рыночная стоимость упаковочной линии - 300 тыс. руб. с НДС, эффективный возраст 4 года, остаточный 7 лет. Ежегодное уменьшение цен 10%. Износ начисляется линейно, функциональное и внешнее устаревание не выявлено. Рассчитать долю формовочной машины в рыночной стоимости линии на 01.01.2017.</t>
  </si>
  <si>
    <t>С учетом скорости износа и снижения ЭВ</t>
  </si>
  <si>
    <r>
      <t xml:space="preserve">РС объекта оценки </t>
    </r>
    <r>
      <rPr>
        <b/>
        <sz val="14"/>
        <color rgb="FFFF0000"/>
        <rFont val="Calibri"/>
        <family val="2"/>
        <charset val="204"/>
        <scheme val="minor"/>
      </rPr>
      <t>без износа</t>
    </r>
  </si>
  <si>
    <t>БЕЗ ИЗНОСА (ПВС 2013) х (индекс 2013-2018) Читаем внимательно условие :)</t>
  </si>
  <si>
    <r>
      <t>Стоимость нового через</t>
    </r>
    <r>
      <rPr>
        <sz val="14"/>
        <rFont val="Calibri"/>
        <family val="2"/>
        <charset val="204"/>
        <scheme val="minor"/>
      </rPr>
      <t xml:space="preserve"> год</t>
    </r>
    <r>
      <rPr>
        <sz val="14"/>
        <color theme="1"/>
        <rFont val="Calibri"/>
        <family val="2"/>
        <charset val="204"/>
        <scheme val="minor"/>
      </rPr>
      <t>, с НДС</t>
    </r>
  </si>
  <si>
    <t>НЕ ИСПОЛЬЗУЕМ (без учёта капитального ремонта)</t>
  </si>
  <si>
    <r>
      <t xml:space="preserve">С учетом скорости износа и </t>
    </r>
    <r>
      <rPr>
        <i/>
        <sz val="14"/>
        <color rgb="FFFF0000"/>
        <rFont val="Calibri"/>
        <family val="2"/>
        <charset val="204"/>
        <scheme val="minor"/>
      </rPr>
      <t>БЕЗ</t>
    </r>
    <r>
      <rPr>
        <i/>
        <sz val="14"/>
        <color theme="1"/>
        <rFont val="Calibri"/>
        <family val="2"/>
        <charset val="204"/>
        <scheme val="minor"/>
      </rPr>
      <t xml:space="preserve"> снижения ЭВ</t>
    </r>
  </si>
  <si>
    <t>Доля в стоимости через год</t>
  </si>
  <si>
    <t>ЭВ через год после 01.01.2017</t>
  </si>
  <si>
    <t>Износ через год после 01.01.2017</t>
  </si>
  <si>
    <t>Рыночная стоимость через год (на 2018)</t>
  </si>
  <si>
    <t>Стоимость на 01.01.2017 с НДС</t>
  </si>
  <si>
    <t>Стоимость нового на 01.01.2017 с НДС</t>
  </si>
  <si>
    <t>Стоимость нового на 01.01.2017 без НДС</t>
  </si>
  <si>
    <t>ЭВ на 01.01.2017</t>
  </si>
  <si>
    <t>Износ на 01.01.2017</t>
  </si>
  <si>
    <t>Износ на 01.01.2017 в рублях (с НДС)</t>
  </si>
  <si>
    <t>Или можно считать сразу:</t>
  </si>
  <si>
    <t>ЭВ на дату покупки</t>
  </si>
  <si>
    <t>Рыночная стоимость на дату оценки</t>
  </si>
  <si>
    <t>Износ на дату покупки</t>
  </si>
  <si>
    <t>5.2.1.133. Стоимость нового оборудования в 2017 году - 5 000 рублей с НДС. Определите стоимость нового оборудования с НДС на середину 2020 года. Известны данные по удорожанию стоимости оборудования с учетом НДС к базовому году. Индексы приведены на середину года.</t>
  </si>
  <si>
    <t>Стоимость в 2017</t>
  </si>
  <si>
    <t>Индекс 2017-2020</t>
  </si>
  <si>
    <t>Стоимость нового в 2020</t>
  </si>
  <si>
    <t>Стоимость, тыс.р.</t>
  </si>
  <si>
    <t>НДС к ОО накрутим в конце, чтобы легче считать</t>
  </si>
  <si>
    <t>Рыночная стоимость без НДС</t>
  </si>
  <si>
    <r>
      <t xml:space="preserve">Рыночная стоимость </t>
    </r>
    <r>
      <rPr>
        <sz val="14"/>
        <color rgb="FFFF0000"/>
        <rFont val="Calibri"/>
        <family val="2"/>
        <charset val="204"/>
        <scheme val="minor"/>
      </rPr>
      <t>с НДС</t>
    </r>
  </si>
  <si>
    <t>Отношение стоимостей ОО/ОА, а не износов!</t>
  </si>
  <si>
    <r>
      <t>5.2.2.40. Необходимо определить рыночную стоимость станка (</t>
    </r>
    <r>
      <rPr>
        <b/>
        <sz val="14"/>
        <color rgb="FFFF0000"/>
        <rFont val="Calibri"/>
        <family val="2"/>
        <charset val="204"/>
        <scheme val="minor"/>
      </rPr>
      <t>с НДС</t>
    </r>
    <r>
      <rPr>
        <b/>
        <sz val="14"/>
        <color theme="1"/>
        <rFont val="Calibri"/>
        <family val="2"/>
        <charset val="204"/>
        <scheme val="minor"/>
      </rPr>
      <t>) производства Россия с ЧПУ по состоянию на 01.01.2015. Диаметр заготовок 600 мм. Нормативный срок жизни объекта и аналогов 25 лет. Эффективный возраст оцениваемого объекта на дату оценки 10 лет. 
Известно, что скидка на торг при продаже составляет 10%. Станки производства России дороже европейских на 50%, а китайские станки дешевле европейских в 1,3 раза.
Стоимость станков с ЧПУ относительно стоимости таких же станков без ЧПУ на дату оценки составляет 200000 руб. (без учета НДС). Коэффициент торможения цены по диаметру заготовок 0,7. Износ происходит линейно. НДС до 01.01.2019 составлял 18%, после - 20%.
Стоимость определить как среднее арифметическое для двух аналогов.
Оценщик искал информацию в 2018 году и выявил следующие станки без ЧПУ:</t>
    </r>
  </si>
  <si>
    <t>5.2.2.42. Оценщику необходимо построить зависимость стоимости нового козлового крана от грузоподъемности и длины пролета. Зависимость имеет вид С = A * L + B * Г + D.  L - длина пролета; Г - грузоподъемность.
Скидка на торг 10%. Определить значение параметра D в уравнении.
Для построения зависимости оценщик нашел следующие объекты-аналоги на рынке:</t>
  </si>
  <si>
    <t>Новый</t>
  </si>
  <si>
    <t>Корректировка на торг, без износа</t>
  </si>
  <si>
    <t>Корректировка на торг и износ</t>
  </si>
  <si>
    <t>Без корректировок (сделка, без износа)</t>
  </si>
  <si>
    <t>Без торга (сделка), с корректировкой на износ</t>
  </si>
  <si>
    <t>А</t>
  </si>
  <si>
    <t>D</t>
  </si>
  <si>
    <t>Порядок действий:</t>
  </si>
  <si>
    <t>2. Вводим формулу: =линейн(известные_значения_y;известные_значения_x)</t>
  </si>
  <si>
    <t>известные_значения_y - столбец с четырьмя ценами новых кранов</t>
  </si>
  <si>
    <t>известные_значения_х - массив из восьми ячеек со значениями грузоподъемности и пролётов</t>
  </si>
  <si>
    <t>5. Щелкаем мышкой по строке формул вверху, где будет прописано уравнение</t>
  </si>
  <si>
    <t>6. Нажимаем Ctrl+Shift+Enter</t>
  </si>
  <si>
    <t>9. В правой ячейке будет искомая величина (с учётом знака)</t>
  </si>
  <si>
    <t>Относительная стоимость</t>
  </si>
  <si>
    <t>Корректировка с учетом знака</t>
  </si>
  <si>
    <t>Износ считаем по рынку, поскольку других вводных нет</t>
  </si>
  <si>
    <t>Скидку на торг не применяет. Цена ПРОДАЖИ.</t>
  </si>
  <si>
    <t>ОО/ОА-1</t>
  </si>
  <si>
    <t>5.2.2.45. Определить стоимость смонтированного станка в городе N как не смонтированного при следующих условиях. На складе в городе N продается аналог на условиях самовывоза 100 тыс. руб. Доставка в город M 10 тыс. руб. Затраты на монтаж 30% от стоимости станка, демонтаж 10% от монтажа. Затраты на демонтаж несет покупатель.</t>
  </si>
  <si>
    <t>Стоимость на складе</t>
  </si>
  <si>
    <t>Затраты на монтаж от стоимости станка</t>
  </si>
  <si>
    <t>Затраты на демонтаж от монтажа</t>
  </si>
  <si>
    <t>Стоимость не смонтированного станка</t>
  </si>
  <si>
    <t>2017 год в задаче не индексируется</t>
  </si>
  <si>
    <r>
      <t xml:space="preserve">Первые два периода в итоговых расчетах не участвуют, поскольку стоимость </t>
    </r>
    <r>
      <rPr>
        <b/>
        <i/>
        <sz val="14"/>
        <color rgb="FFFF0000"/>
        <rFont val="Calibri"/>
        <family val="2"/>
        <charset val="204"/>
        <scheme val="minor"/>
      </rPr>
      <t>на 01.01.2019</t>
    </r>
  </si>
  <si>
    <t>Индексы цен на расходы производства</t>
  </si>
  <si>
    <t>Индексы цен на капремонт</t>
  </si>
  <si>
    <r>
      <rPr>
        <sz val="14"/>
        <color rgb="FFFF0000"/>
        <rFont val="Calibri"/>
        <family val="2"/>
        <charset val="204"/>
        <scheme val="minor"/>
      </rPr>
      <t>Среднемесячные</t>
    </r>
    <r>
      <rPr>
        <sz val="14"/>
        <color theme="1"/>
        <rFont val="Calibri"/>
        <family val="2"/>
        <charset val="204"/>
        <scheme val="minor"/>
      </rPr>
      <t xml:space="preserve"> постоянные затраты</t>
    </r>
  </si>
  <si>
    <t>Дисконтирование на конец периодов!</t>
  </si>
  <si>
    <t>Текущая стоимость с капремонтом</t>
  </si>
  <si>
    <t>Текущая стоимость без капремонта</t>
  </si>
  <si>
    <t>Текущая стоимость за шесть лет с капремонтом меньше, чем за три без капремонта.</t>
  </si>
  <si>
    <r>
      <t xml:space="preserve">Первые четыре периода в итоговых расчетах не участвуют, поскольку стоимость </t>
    </r>
    <r>
      <rPr>
        <b/>
        <i/>
        <sz val="14"/>
        <color rgb="FFFF0000"/>
        <rFont val="Calibri"/>
        <family val="2"/>
        <charset val="204"/>
        <scheme val="minor"/>
      </rPr>
      <t>на 01.01.2021</t>
    </r>
  </si>
  <si>
    <t>1. Устанавливаем курсор в любую ячейк</t>
  </si>
  <si>
    <t>жмём Enter. В ячейке появляется какое-то число - это последний из коэффициентов (в данном случае второй, т.е. для параметра L - кофф. А)</t>
  </si>
  <si>
    <t>7. В левой ячейке будет коэффициент для ВТОРОГО столбца значений Х (если это L, то коэффициент А)</t>
  </si>
  <si>
    <t>8. Во второй ячейке будет коэффициен для ПЕРВОГО столбца значений Х</t>
  </si>
  <si>
    <t>P.P.S. В ЗАВИСИМОСТИ ОТ ВЕРСИИ EXCEL РАБОТА ФУНКЦИИ =ЛИНЕЙН() МОЖЕТ ОТЛИЧАТЬСЯ!!!</t>
  </si>
  <si>
    <t>P.S. Данный порядок действий приведён именно для конкретной задачи!!!</t>
  </si>
  <si>
    <t>4. Устанавливаем курсор в ячейку с формулой и выделяем её и две пустые ячейки справа в один массив</t>
  </si>
  <si>
    <r>
      <t xml:space="preserve">5.2.3.34. Определить методом дисконтированных денежных потоков стоимость производственной линии </t>
    </r>
    <r>
      <rPr>
        <b/>
        <i/>
        <sz val="14"/>
        <color rgb="FF7030A0"/>
        <rFont val="Calibri"/>
        <family val="2"/>
        <charset val="204"/>
        <scheme val="minor"/>
      </rPr>
      <t>на 01.01.2021 года</t>
    </r>
    <r>
      <rPr>
        <b/>
        <sz val="14"/>
        <color theme="1"/>
        <rFont val="Calibri"/>
        <family val="2"/>
        <charset val="204"/>
        <scheme val="minor"/>
      </rPr>
      <t xml:space="preserve">. Ежемесячный объем производства продукции - 100 шт., стоимость 1 единицы продукции по состоянию </t>
    </r>
    <r>
      <rPr>
        <b/>
        <sz val="14"/>
        <color rgb="FFFF0000"/>
        <rFont val="Calibri"/>
        <family val="2"/>
        <charset val="204"/>
        <scheme val="minor"/>
      </rPr>
      <t>на 01.01.2017</t>
    </r>
    <r>
      <rPr>
        <b/>
        <sz val="14"/>
        <color theme="1"/>
        <rFont val="Calibri"/>
        <family val="2"/>
        <charset val="204"/>
        <scheme val="minor"/>
      </rPr>
      <t xml:space="preserve"> составляет 500 руб./шт. Линия может работать 3 года, после чего для продолжения работы линии еще на 3 года необходимо проведение капитального ремонта, затраты на который составляют 800 000 руб. в ценах по состоянию </t>
    </r>
    <r>
      <rPr>
        <b/>
        <sz val="14"/>
        <color rgb="FFFF0000"/>
        <rFont val="Calibri"/>
        <family val="2"/>
        <charset val="204"/>
        <scheme val="minor"/>
      </rPr>
      <t>на дату капитального ремонта</t>
    </r>
    <r>
      <rPr>
        <b/>
        <sz val="14"/>
        <color theme="1"/>
        <rFont val="Calibri"/>
        <family val="2"/>
        <charset val="204"/>
        <scheme val="minor"/>
      </rPr>
      <t xml:space="preserve">. Капитальный ремонт сроком 4 месяца продлит срок службы линии на 3 года (4 мес. учитываются в этом сроке). Длительность планового регламентного обслуживания в период до капитального ремонта составляет 1 месяц в год, после проведения капитального ремонта 3 месяца в год. В год проведения капитального ремонта плановое регламентное обслуживание не проводится. </t>
    </r>
    <r>
      <rPr>
        <b/>
        <sz val="14"/>
        <color rgb="FFFF0000"/>
        <rFont val="Calibri"/>
        <family val="2"/>
        <charset val="204"/>
        <scheme val="minor"/>
      </rPr>
      <t>Среднемесячное</t>
    </r>
    <r>
      <rPr>
        <b/>
        <sz val="14"/>
        <color theme="1"/>
        <rFont val="Calibri"/>
        <family val="2"/>
        <charset val="204"/>
        <scheme val="minor"/>
      </rPr>
      <t xml:space="preserve"> значение постоянных эксплуатационных затрат составляют 10 000 руб., проведение капитального ремонта не отражается на величине постоянных затрат. Переменные затраты на производство 1 единицы продукции </t>
    </r>
    <r>
      <rPr>
        <b/>
        <sz val="14"/>
        <color rgb="FFFF0000"/>
        <rFont val="Calibri"/>
        <family val="2"/>
        <charset val="204"/>
        <scheme val="minor"/>
      </rPr>
      <t>в 2017 году</t>
    </r>
    <r>
      <rPr>
        <b/>
        <sz val="14"/>
        <color theme="1"/>
        <rFont val="Calibri"/>
        <family val="2"/>
        <charset val="204"/>
        <scheme val="minor"/>
      </rPr>
      <t xml:space="preserve"> составляют 130 руб./шт. Ставка дисконтирования 0,2, дисконтирование провести </t>
    </r>
    <r>
      <rPr>
        <b/>
        <sz val="14"/>
        <color rgb="FFFF0000"/>
        <rFont val="Calibri"/>
        <family val="2"/>
        <charset val="204"/>
        <scheme val="minor"/>
      </rPr>
      <t>на конец периода</t>
    </r>
    <r>
      <rPr>
        <b/>
        <sz val="14"/>
        <color theme="1"/>
        <rFont val="Calibri"/>
        <family val="2"/>
        <charset val="204"/>
        <scheme val="minor"/>
      </rPr>
      <t>, длительность каждого периода - 1 год. Изменение цен на продукцию, элементы себестоимости, ремонты происходит в начале каждого года:</t>
    </r>
  </si>
  <si>
    <r>
      <t>5.2.3.33. Определить методом дисконтированных денежных потоков стоимость производственной линии на 01.01.2017 года</t>
    </r>
    <r>
      <rPr>
        <b/>
        <sz val="14"/>
        <color rgb="FF7030A0"/>
        <rFont val="Calibri"/>
        <family val="2"/>
        <charset val="204"/>
        <scheme val="minor"/>
      </rPr>
      <t xml:space="preserve"> </t>
    </r>
    <r>
      <rPr>
        <b/>
        <i/>
        <sz val="14"/>
        <color rgb="FF7030A0"/>
        <rFont val="Calibri"/>
        <family val="2"/>
        <charset val="204"/>
        <scheme val="minor"/>
      </rPr>
      <t>с учетом необходимости проведения капитального ремонта</t>
    </r>
    <r>
      <rPr>
        <b/>
        <sz val="14"/>
        <color theme="1"/>
        <rFont val="Calibri"/>
        <family val="2"/>
        <charset val="204"/>
        <scheme val="minor"/>
      </rPr>
      <t xml:space="preserve">. Ежемесячный объем производства продукции - 800 шт., стоимость 1 единицы продукции по состоянию </t>
    </r>
    <r>
      <rPr>
        <b/>
        <sz val="14"/>
        <color rgb="FFFF0000"/>
        <rFont val="Calibri"/>
        <family val="2"/>
        <charset val="204"/>
        <scheme val="minor"/>
      </rPr>
      <t>на 01.01.2017</t>
    </r>
    <r>
      <rPr>
        <b/>
        <sz val="14"/>
        <color theme="1"/>
        <rFont val="Calibri"/>
        <family val="2"/>
        <charset val="204"/>
        <scheme val="minor"/>
      </rPr>
      <t xml:space="preserve"> составляет 1000 руб./шт. Оставшийся срок службы оборудования (ОСС) = 3 года, однако, его можно продлить еще на 3 года, сделав по окончании 3 лет (т.е. по окончании ОСС) капитальный ремонт, затраты на который составляют 2000000 руб. в ценах по состоянию </t>
    </r>
    <r>
      <rPr>
        <b/>
        <sz val="14"/>
        <color rgb="FFFF0000"/>
        <rFont val="Calibri"/>
        <family val="2"/>
        <charset val="204"/>
        <scheme val="minor"/>
      </rPr>
      <t>на дату оценки</t>
    </r>
    <r>
      <rPr>
        <b/>
        <sz val="14"/>
        <color theme="1"/>
        <rFont val="Calibri"/>
        <family val="2"/>
        <charset val="204"/>
        <scheme val="minor"/>
      </rPr>
      <t xml:space="preserve">. Длительность проведения капитального ремонта 4 месяца; которые включены в продленный срок службы. Длительность планового регламентного обслуживания в период до капитального ремонта составляет 2 месяца в год, после проведения капитального ремонта 3 месяца в год. В год проведения капитального ремонта плановое регламентное обслуживание не проводится. </t>
    </r>
    <r>
      <rPr>
        <b/>
        <sz val="14"/>
        <color rgb="FFFF0000"/>
        <rFont val="Calibri"/>
        <family val="2"/>
        <charset val="204"/>
        <scheme val="minor"/>
      </rPr>
      <t>Среднемесячное</t>
    </r>
    <r>
      <rPr>
        <b/>
        <sz val="14"/>
        <color theme="1"/>
        <rFont val="Calibri"/>
        <family val="2"/>
        <charset val="204"/>
        <scheme val="minor"/>
      </rPr>
      <t xml:space="preserve"> значение постоянных эксплуатационных затрат составляет 200 000 руб. в ценах по состоянию </t>
    </r>
    <r>
      <rPr>
        <b/>
        <sz val="14"/>
        <color rgb="FFFF0000"/>
        <rFont val="Calibri"/>
        <family val="2"/>
        <charset val="204"/>
        <scheme val="minor"/>
      </rPr>
      <t>на дату оценки</t>
    </r>
    <r>
      <rPr>
        <b/>
        <sz val="14"/>
        <color theme="1"/>
        <rFont val="Calibri"/>
        <family val="2"/>
        <charset val="204"/>
        <scheme val="minor"/>
      </rPr>
      <t xml:space="preserve">, проведение капитального ремонта не отражается на величине постоянных затрат; данные затраты не зависят от того, работает оборудование или простаивает. Переменные затраты на производство 1 единицы продукции </t>
    </r>
    <r>
      <rPr>
        <b/>
        <sz val="14"/>
        <color rgb="FFFF0000"/>
        <rFont val="Calibri"/>
        <family val="2"/>
        <charset val="204"/>
        <scheme val="minor"/>
      </rPr>
      <t>в 2017 году</t>
    </r>
    <r>
      <rPr>
        <b/>
        <sz val="14"/>
        <color theme="1"/>
        <rFont val="Calibri"/>
        <family val="2"/>
        <charset val="204"/>
        <scheme val="minor"/>
      </rPr>
      <t xml:space="preserve"> составляют 600 руб./шт. Ставка дисконтирования 18%, дисконтирование провести </t>
    </r>
    <r>
      <rPr>
        <b/>
        <sz val="14"/>
        <color rgb="FFFF0000"/>
        <rFont val="Calibri"/>
        <family val="2"/>
        <charset val="204"/>
        <scheme val="minor"/>
      </rPr>
      <t>на конец периода</t>
    </r>
    <r>
      <rPr>
        <b/>
        <sz val="14"/>
        <color theme="1"/>
        <rFont val="Calibri"/>
        <family val="2"/>
        <charset val="204"/>
        <scheme val="minor"/>
      </rPr>
      <t>, длительность каждого периода - 1 год. Изменение цен на продукцию, элементы себестоимости, ремонты происходит в начале каждого года:</t>
    </r>
  </si>
  <si>
    <r>
      <t xml:space="preserve">5.2.3.32. Определить методом дисконтированных денежных потоков стоимость производственной линии </t>
    </r>
    <r>
      <rPr>
        <b/>
        <i/>
        <sz val="14"/>
        <color rgb="FF7030A0"/>
        <rFont val="Calibri"/>
        <family val="2"/>
        <charset val="204"/>
        <scheme val="minor"/>
      </rPr>
      <t>на 01.01.2019 года</t>
    </r>
    <r>
      <rPr>
        <b/>
        <sz val="14"/>
        <color theme="1"/>
        <rFont val="Calibri"/>
        <family val="2"/>
        <charset val="204"/>
        <scheme val="minor"/>
      </rPr>
      <t xml:space="preserve">. Ежемесячный объем производства продукции - 100 шт., стоимость 1 единицы продукции по состоянию </t>
    </r>
    <r>
      <rPr>
        <b/>
        <sz val="14"/>
        <color rgb="FFFF0000"/>
        <rFont val="Calibri"/>
        <family val="2"/>
        <charset val="204"/>
        <scheme val="minor"/>
      </rPr>
      <t>на 01.01.2017</t>
    </r>
    <r>
      <rPr>
        <b/>
        <sz val="14"/>
        <color theme="1"/>
        <rFont val="Calibri"/>
        <family val="2"/>
        <charset val="204"/>
        <scheme val="minor"/>
      </rPr>
      <t xml:space="preserve"> составляет 500 руб./шт. Линия может работать 3 года, после чего для продолжения работы линии еще на 3 года необходимо проведение капитального ремонта, затраты на который составляют 800 000 руб. в ценах по состоянию </t>
    </r>
    <r>
      <rPr>
        <b/>
        <sz val="14"/>
        <color rgb="FFFF0000"/>
        <rFont val="Calibri"/>
        <family val="2"/>
        <charset val="204"/>
        <scheme val="minor"/>
      </rPr>
      <t>на дату капитального ремонта</t>
    </r>
    <r>
      <rPr>
        <b/>
        <sz val="14"/>
        <color theme="1"/>
        <rFont val="Calibri"/>
        <family val="2"/>
        <charset val="204"/>
        <scheme val="minor"/>
      </rPr>
      <t xml:space="preserve">. Капитальный ремонт сроком 4 месяца продлит срок службы линии на 3 года (4 мес. учитываются в этом сроке). Длительность планового регламентного обслуживания в период до капитального ремонта составляет 1 месяц в год, после проведения капитального ремонта 3 месяца в год. В год проведения капитального ремонта плановое регламентное обслуживание не проводится. </t>
    </r>
    <r>
      <rPr>
        <b/>
        <sz val="14"/>
        <color rgb="FFFF0000"/>
        <rFont val="Calibri"/>
        <family val="2"/>
        <charset val="204"/>
        <scheme val="minor"/>
      </rPr>
      <t>Среднегодовое</t>
    </r>
    <r>
      <rPr>
        <b/>
        <sz val="14"/>
        <color theme="1"/>
        <rFont val="Calibri"/>
        <family val="2"/>
        <charset val="204"/>
        <scheme val="minor"/>
      </rPr>
      <t xml:space="preserve"> значение постоянных эксплуатационных затрат </t>
    </r>
    <r>
      <rPr>
        <b/>
        <sz val="14"/>
        <color rgb="FFFF0000"/>
        <rFont val="Calibri"/>
        <family val="2"/>
        <charset val="204"/>
        <scheme val="minor"/>
      </rPr>
      <t>составляют</t>
    </r>
    <r>
      <rPr>
        <b/>
        <sz val="14"/>
        <color theme="1"/>
        <rFont val="Calibri"/>
        <family val="2"/>
        <charset val="204"/>
        <scheme val="minor"/>
      </rPr>
      <t xml:space="preserve"> 10 000 руб., проведение капитального ремонта не отражается на величине постоянных затрат. Переменные затраты на производство 1 единицы продукции </t>
    </r>
    <r>
      <rPr>
        <b/>
        <sz val="14"/>
        <color rgb="FFFF0000"/>
        <rFont val="Calibri"/>
        <family val="2"/>
        <charset val="204"/>
        <scheme val="minor"/>
      </rPr>
      <t>в 2017 году составляют</t>
    </r>
    <r>
      <rPr>
        <b/>
        <sz val="14"/>
        <color theme="1"/>
        <rFont val="Calibri"/>
        <family val="2"/>
        <charset val="204"/>
        <scheme val="minor"/>
      </rPr>
      <t xml:space="preserve"> 130 руб./шт. Ставка дисконтирования 0,2, дисконтирование провести </t>
    </r>
    <r>
      <rPr>
        <b/>
        <sz val="14"/>
        <color rgb="FFFF0000"/>
        <rFont val="Calibri"/>
        <family val="2"/>
        <charset val="204"/>
        <scheme val="minor"/>
      </rPr>
      <t>на середину периода</t>
    </r>
    <r>
      <rPr>
        <b/>
        <sz val="14"/>
        <color theme="1"/>
        <rFont val="Calibri"/>
        <family val="2"/>
        <charset val="204"/>
        <scheme val="minor"/>
      </rPr>
      <t>, длительность каждого периода - 1 год. Изменение цен на продукцию, элементы себестоимости, ремонты происходит в начале каждого года:</t>
    </r>
  </si>
  <si>
    <r>
      <t xml:space="preserve">5.2.3.25. Определить ставку капитализации для оборудования </t>
    </r>
    <r>
      <rPr>
        <b/>
        <sz val="14"/>
        <color rgb="FFFF0000"/>
        <rFont val="Calibri"/>
        <family val="2"/>
        <charset val="204"/>
        <scheme val="minor"/>
      </rPr>
      <t>на 01.01.2017</t>
    </r>
    <r>
      <rPr>
        <b/>
        <sz val="14"/>
        <color theme="1"/>
        <rFont val="Calibri"/>
        <family val="2"/>
        <charset val="204"/>
        <scheme val="minor"/>
      </rPr>
      <t xml:space="preserve">, если известно, что оборудование принесет чистый операционный доход: </t>
    </r>
    <r>
      <rPr>
        <b/>
        <sz val="14"/>
        <color rgb="FFFF0000"/>
        <rFont val="Calibri"/>
        <family val="2"/>
        <charset val="204"/>
        <scheme val="minor"/>
      </rPr>
      <t>2016</t>
    </r>
    <r>
      <rPr>
        <b/>
        <sz val="14"/>
        <color theme="1"/>
        <rFont val="Calibri"/>
        <family val="2"/>
        <charset val="204"/>
        <scheme val="minor"/>
      </rPr>
      <t xml:space="preserve"> - 478; 2017 - 522; 218 - 560; 2019 - 603; 2020 - 640; 2021 - 692.
Ставка дисконтирования 15%, дисконтирование на конец каждого года. В конце прогнозного периода объект полностью обесценивается.
Формулы расчета нормы возврата по методам Ринга, Хоскольда, Инвуда оценщику не известны.</t>
    </r>
  </si>
  <si>
    <r>
      <t xml:space="preserve">5.2.2.44. Объект оценки – легковой автомобиль с пробегом 30 тыс. км и возрастом 4 года, аналог - легковой автомобиль с пробегом 25 тыс. км и возрастом 3 года. Нормативный срок службы объектов 9 лет. Цена </t>
    </r>
    <r>
      <rPr>
        <b/>
        <sz val="14"/>
        <color rgb="FFFF0000"/>
        <rFont val="Calibri"/>
        <family val="2"/>
        <charset val="204"/>
        <scheme val="minor"/>
      </rPr>
      <t>продажи</t>
    </r>
    <r>
      <rPr>
        <b/>
        <sz val="14"/>
        <color theme="1"/>
        <rFont val="Calibri"/>
        <family val="2"/>
        <charset val="204"/>
        <scheme val="minor"/>
      </rPr>
      <t xml:space="preserve"> аналога 700 000 руб. Скидка на торг 10 %. По </t>
    </r>
    <r>
      <rPr>
        <b/>
        <sz val="14"/>
        <color rgb="FFFF0000"/>
        <rFont val="Calibri"/>
        <family val="2"/>
        <charset val="204"/>
        <scheme val="minor"/>
      </rPr>
      <t>рыночным данным</t>
    </r>
    <r>
      <rPr>
        <b/>
        <sz val="14"/>
        <color theme="1"/>
        <rFont val="Calibri"/>
        <family val="2"/>
        <charset val="204"/>
        <scheme val="minor"/>
      </rPr>
      <t xml:space="preserve"> износ определяется по формуле: 1 - exp(-1,6 * Tэфф/Tнорм). Физический износ по данным справочника 1999 года определяется по формуле Иф = 1 - exp(-ω). Зависимость ω для расчета износа данного вида автомобилей ω = 0,065*В+0,0032*П, где П - пробег в тыс. км, а В - возраст транспортного средства в годах. Определить </t>
    </r>
    <r>
      <rPr>
        <b/>
        <sz val="14"/>
        <color rgb="FFFF0000"/>
        <rFont val="Calibri"/>
        <family val="2"/>
        <charset val="204"/>
        <scheme val="minor"/>
      </rPr>
      <t>денежную</t>
    </r>
    <r>
      <rPr>
        <b/>
        <sz val="14"/>
        <color theme="1"/>
        <rFont val="Calibri"/>
        <family val="2"/>
        <charset val="204"/>
        <scheme val="minor"/>
      </rPr>
      <t xml:space="preserve"> корректировку на износ к цене аналога.</t>
    </r>
  </si>
  <si>
    <r>
      <t xml:space="preserve">5.2.2.43. Объект оценки – легковой автомобиль с пробегом 30 тыс. км и возрастом 4 года, аналог - легковой автомобиль с пробегом 35 тыс. км и возрастом 5 лет. Нормативный срок службы объектов 9 лет. Цена продажи аналога 700 000 руб. Скидка на торг 10 %. По </t>
    </r>
    <r>
      <rPr>
        <b/>
        <sz val="14"/>
        <color rgb="FFFF0000"/>
        <rFont val="Calibri"/>
        <family val="2"/>
        <charset val="204"/>
        <scheme val="minor"/>
      </rPr>
      <t>рыночным данным</t>
    </r>
    <r>
      <rPr>
        <b/>
        <sz val="14"/>
        <color theme="1"/>
        <rFont val="Calibri"/>
        <family val="2"/>
        <charset val="204"/>
        <scheme val="minor"/>
      </rPr>
      <t xml:space="preserve"> износ определяется по формуле: 1 - exp(-1,6 * Tэфф/Tнорм). Физический износ по данным справочника 1999 года определяется по формуле Иф = 1 - exp(-ω). Зависимость ω для расчета износа данного вида автомобилей ω = 0,065*В+0,0032*П, где П - пробег в тыс. км, а В - возраст транспортного средства в годах. Определить </t>
    </r>
    <r>
      <rPr>
        <b/>
        <sz val="14"/>
        <color rgb="FFFF0000"/>
        <rFont val="Calibri"/>
        <family val="2"/>
        <charset val="204"/>
        <scheme val="minor"/>
      </rPr>
      <t>процентную</t>
    </r>
    <r>
      <rPr>
        <b/>
        <sz val="14"/>
        <color theme="1"/>
        <rFont val="Calibri"/>
        <family val="2"/>
        <charset val="204"/>
        <scheme val="minor"/>
      </rPr>
      <t xml:space="preserve"> корректировку на износ аналога.</t>
    </r>
  </si>
  <si>
    <r>
      <t>5.2.2.41. Необходимо определить рыночную стоимость станка (</t>
    </r>
    <r>
      <rPr>
        <b/>
        <sz val="14"/>
        <color rgb="FFFF0000"/>
        <rFont val="Calibri"/>
        <family val="2"/>
        <charset val="204"/>
        <scheme val="minor"/>
      </rPr>
      <t>с НДС</t>
    </r>
    <r>
      <rPr>
        <b/>
        <sz val="14"/>
        <color theme="1"/>
        <rFont val="Calibri"/>
        <family val="2"/>
        <charset val="204"/>
        <scheme val="minor"/>
      </rPr>
      <t>) производства Россия с ЧПУ по состоянию на 01.01.2017. Диаметр заготовок 600 мм. Нормативный срок жизни объекта и аналогов 25 лет. Эффективный возраст оцениваемого объекта на дату оценки 10 лет.
Известно, что скидка на торг при продаже составляет 10%. Станки производства России дороже европейских на 50%, а китайские станки дешевле европейских в 1,3 раза.
Стоимость станков с ЧПУ относительно стоимости таких же станков без ЧПУ на дату оценки составляет 200 000 руб. (без учета НДС). Коэффициент торможения цены по диаметру заготовок 0,7. Износ происходит линейно. НДС до 01.01.2019 составлял 18%, после - 20%.
Стоимость определить как среднее арифметическое для двух аналогов.
Оценщик искал информацию в 2019 году и выявил следующие станки без ЧПУ:</t>
    </r>
  </si>
  <si>
    <r>
      <t xml:space="preserve">5.2.2.39. Стоимость электродвигателя мощностью 10кВт - 50 тыс. руб. Формула зависимости цены электродвигателя в расчёте на 1 кВт: Ц = 6 - 0.1Р, где Р - мощность электродвигателя. Определить, на сколько процентов </t>
    </r>
    <r>
      <rPr>
        <b/>
        <sz val="14"/>
        <color rgb="FFFF0000"/>
        <rFont val="Calibri"/>
        <family val="2"/>
        <charset val="204"/>
        <scheme val="minor"/>
      </rPr>
      <t>двигатель 10кВт дешевле, чем</t>
    </r>
    <r>
      <rPr>
        <b/>
        <sz val="14"/>
        <color theme="1"/>
        <rFont val="Calibri"/>
        <family val="2"/>
        <charset val="204"/>
        <scheme val="minor"/>
      </rPr>
      <t xml:space="preserve"> двигатель 15кВт.</t>
    </r>
  </si>
  <si>
    <t>Через Тенденцию</t>
  </si>
  <si>
    <t>Через Линейн</t>
  </si>
  <si>
    <t>B</t>
  </si>
  <si>
    <r>
      <t>5.2.1.131. Определить рыночную стоимость специализированной линии по производству чугунных заготовок (</t>
    </r>
    <r>
      <rPr>
        <b/>
        <sz val="13"/>
        <color rgb="FFFF0000"/>
        <rFont val="Calibri"/>
        <family val="2"/>
        <charset val="204"/>
        <scheme val="minor"/>
      </rPr>
      <t>без учета износа</t>
    </r>
    <r>
      <rPr>
        <b/>
        <sz val="13"/>
        <color theme="1"/>
        <rFont val="Calibri"/>
        <family val="2"/>
        <charset val="204"/>
        <scheme val="minor"/>
      </rPr>
      <t xml:space="preserve">) на 01.01.2018 для залога без НДС (НДС 18%).
Оцениваемая линия приобретена и поставлена на баланс 01.01.2013 по первоначальной стоимости 115 млн руб. без НДС. Индекс изменения цен с 01.01.2001 по 01.01.2018 составил </t>
    </r>
    <r>
      <rPr>
        <b/>
        <sz val="13"/>
        <color rgb="FFFF0000"/>
        <rFont val="Calibri"/>
        <family val="2"/>
        <charset val="204"/>
        <scheme val="minor"/>
      </rPr>
      <t>224%</t>
    </r>
    <r>
      <rPr>
        <b/>
        <sz val="13"/>
        <color theme="1"/>
        <rFont val="Calibri"/>
        <family val="2"/>
        <charset val="204"/>
        <scheme val="minor"/>
      </rPr>
      <t xml:space="preserve">, индекс изменения стоимости аналогичного оборудования с 01.01.2001 по 01.01.2013 составил 3,56. Нормативный срок жизни 17 лет.
Линия входит в состав имущественного комплекса завода. В имущественный комплекс входят также:
1. Административное здание заводоуправления, расположено на обособленном участке земли. ЧОД, генерируемый </t>
    </r>
    <r>
      <rPr>
        <b/>
        <sz val="13"/>
        <color rgb="FFFF0000"/>
        <rFont val="Calibri"/>
        <family val="2"/>
        <charset val="204"/>
        <scheme val="minor"/>
      </rPr>
      <t>имущественным комплексом</t>
    </r>
    <r>
      <rPr>
        <b/>
        <sz val="13"/>
        <color theme="1"/>
        <rFont val="Calibri"/>
        <family val="2"/>
        <charset val="204"/>
        <scheme val="minor"/>
      </rPr>
      <t xml:space="preserve">, составляет 900000 руб. в год без НДС, а соответствующая ему ставка капитализации 14%. Рыночная стоимость земельного участка площадью 3 га, на котором располагается данное административное здание составляет 25000 руб. за сотку.
2. Земельный участок площадью 9 га производственного назначения, с расположенными на нем основным производственными зданиями. Рыночная стоимость земельного участка на дату оценки 9 млн руб. за 1 га.
3. Здание производственного назначения площадью 10500 кв. м, рыночной стоимостью 5500 руб. за 1 кв. м без учета стоимости земельного участка.
4. </t>
    </r>
    <r>
      <rPr>
        <b/>
        <sz val="13"/>
        <color rgb="FFFF0000"/>
        <rFont val="Calibri"/>
        <family val="2"/>
        <charset val="204"/>
        <scheme val="minor"/>
      </rPr>
      <t>Специализированное</t>
    </r>
    <r>
      <rPr>
        <b/>
        <sz val="13"/>
        <color theme="1"/>
        <rFont val="Calibri"/>
        <family val="2"/>
        <charset val="204"/>
        <scheme val="minor"/>
      </rPr>
      <t xml:space="preserve"> здание для размещения линии подготовки заготовок, стоимость замещения на дату оценки составляет 8,5 млн руб. без НДС, накопленный физический износ на дату оценки 35%.
5. Железнодорожный парк в составе локомотива и 2 вагонов, предназначенных для перемещения грузов на основной производственной площадке, рыночная стоимость ж/д парка составляет 15 млн руб. без учета НДС 
6. На балансе предприятия числится санаторий в Хакасии рыночной стоимостью 185 млн. руб. </t>
    </r>
    <r>
      <rPr>
        <b/>
        <sz val="13"/>
        <color rgb="FFFF0000"/>
        <rFont val="Calibri"/>
        <family val="2"/>
        <charset val="204"/>
        <scheme val="minor"/>
      </rPr>
      <t>с учетом НДС</t>
    </r>
    <r>
      <rPr>
        <b/>
        <sz val="13"/>
        <color theme="1"/>
        <rFont val="Calibri"/>
        <family val="2"/>
        <charset val="204"/>
        <scheme val="minor"/>
      </rPr>
      <t xml:space="preserve">.
7. Линия по подготовке заготовок, полная восстановительная стоимость на дату оценки 75 млн руб. без НДС, срок службы 15 лет, эффективный возраст 7 лет.
Все прочие активы являются специализированными и задействованы в производстве продукции предприятия. Затраты на замещение как новых данных прочих активов по состоянию на дату оценки составляет 945 млн руб. без НДС. Физический износ 15% активов (в стоимостном выражении) составляет 50%, 25% активов – 40%, 60% активов – 30%.
Стоимость </t>
    </r>
    <r>
      <rPr>
        <b/>
        <sz val="13"/>
        <color rgb="FFFF0000"/>
        <rFont val="Calibri"/>
        <family val="2"/>
        <charset val="204"/>
        <scheme val="minor"/>
      </rPr>
      <t>всего имущества</t>
    </r>
    <r>
      <rPr>
        <b/>
        <sz val="13"/>
        <color theme="1"/>
        <rFont val="Calibri"/>
        <family val="2"/>
        <charset val="204"/>
        <scheme val="minor"/>
      </rPr>
      <t xml:space="preserve"> завода в рамках доходного подхода по состоянию на дату оценки составляет 800 млн руб. (без НДС).</t>
    </r>
  </si>
  <si>
    <r>
      <t xml:space="preserve">5.2.1.128. Определить рыночную стоимость специализированной линии по производству чугунных заготовок на 01.01.2018 для залога </t>
    </r>
    <r>
      <rPr>
        <b/>
        <sz val="13"/>
        <color rgb="FFFF0000"/>
        <rFont val="Calibri"/>
        <family val="2"/>
        <charset val="204"/>
        <scheme val="minor"/>
      </rPr>
      <t>c учетом НДС</t>
    </r>
    <r>
      <rPr>
        <b/>
        <sz val="13"/>
        <color theme="1"/>
        <rFont val="Calibri"/>
        <family val="2"/>
        <charset val="204"/>
        <scheme val="minor"/>
      </rPr>
      <t xml:space="preserve"> (НДС 18%).
Оцениваемая линия приобретена и поставлена на баланс 01.01.2013 по первоначальной стоимости 115 млн руб. без НДС. Цены на аналогичное оборудование выросли с 01.01.2001 по 01.01.2018 </t>
    </r>
    <r>
      <rPr>
        <b/>
        <sz val="13"/>
        <color rgb="FFFF0000"/>
        <rFont val="Calibri"/>
        <family val="2"/>
        <charset val="204"/>
        <scheme val="minor"/>
      </rPr>
      <t>на 224%</t>
    </r>
    <r>
      <rPr>
        <b/>
        <sz val="13"/>
        <color theme="1"/>
        <rFont val="Calibri"/>
        <family val="2"/>
        <charset val="204"/>
        <scheme val="minor"/>
      </rPr>
      <t xml:space="preserve">, индекс изменения стоимости аналогичного оборудования с 01.01.2001 по 01.01.2013 составил 3,56. Нормативный срок жизни 17 лет.
Линия входит в состав имущественного комплекса завода. В имущественный комплекс входят также:
1. Административное здание заводоуправления, расположено на обособленном участке земли. ЧОД, генерируемый </t>
    </r>
    <r>
      <rPr>
        <b/>
        <sz val="13"/>
        <color rgb="FFFF0000"/>
        <rFont val="Calibri"/>
        <family val="2"/>
        <charset val="204"/>
        <scheme val="minor"/>
      </rPr>
      <t>имущественным комплексом</t>
    </r>
    <r>
      <rPr>
        <b/>
        <sz val="13"/>
        <color theme="1"/>
        <rFont val="Calibri"/>
        <family val="2"/>
        <charset val="204"/>
        <scheme val="minor"/>
      </rPr>
      <t xml:space="preserve">, составляет 900000 руб. в год без НДС, а соответствующая ему ставка капитализации 14%. Рыночная стоимость земельного участка площадью 3 га, на котором располагается данное административное здание составляет 25000 руб. за сотку.
2. Земельный участок площадью 9 га производственного назначения, с расположенными на нем основным производственными зданиями. Рыночная стоимость земельного участка на дату оценки 9 млн руб. за 1 га.
3. Здание производственного назначения площадью 10500 кв. м, рыночной стоимостью 5500 руб. за 1 кв. м без учета стоимости земельного участка.
4. </t>
    </r>
    <r>
      <rPr>
        <b/>
        <sz val="13"/>
        <color rgb="FFFF0000"/>
        <rFont val="Calibri"/>
        <family val="2"/>
        <charset val="204"/>
        <scheme val="minor"/>
      </rPr>
      <t>Специализированное</t>
    </r>
    <r>
      <rPr>
        <b/>
        <sz val="13"/>
        <color theme="1"/>
        <rFont val="Calibri"/>
        <family val="2"/>
        <charset val="204"/>
        <scheme val="minor"/>
      </rPr>
      <t xml:space="preserve"> здание для размещения линии подготовки заготовок, стоимость замещения на дату оценки составляет 8,5 млн руб. без НДС, накопленный физический износ на дату оценки 35%.
5. Железнодорожный парк в составе локомотива и 2 вагонов, предназначенных для перемещения грузов на основной производственной площадке, рыночная стоимость ж/д парка составляет 15 млн руб. без учета НДС 
6. На балансе предприятия числится санаторий в Хакасии рыночной стоимостью 185 млн. руб. </t>
    </r>
    <r>
      <rPr>
        <b/>
        <sz val="13"/>
        <color rgb="FFFF0000"/>
        <rFont val="Calibri"/>
        <family val="2"/>
        <charset val="204"/>
        <scheme val="minor"/>
      </rPr>
      <t>с учетом НДС</t>
    </r>
    <r>
      <rPr>
        <b/>
        <sz val="13"/>
        <color theme="1"/>
        <rFont val="Calibri"/>
        <family val="2"/>
        <charset val="204"/>
        <scheme val="minor"/>
      </rPr>
      <t xml:space="preserve">.
7. Линия по подготовке заготовок, полная восстановительная стоимость на дату оценки 75 млн руб. без НДС, срок службы 15 лет, эффективный возраст 7 лет.
Все прочие активы являются специализированными и задействованы в производстве продукции предприятия. Затраты на замещение как новых данных прочих активов по состоянию на дату оценки составляет 945 млн руб. без НДС. Физический износ 15% активов (в стоимостном выражении) составляет 50%, 25% активов – 40%, 60% активов – 30%.
Стоимость </t>
    </r>
    <r>
      <rPr>
        <b/>
        <sz val="13"/>
        <color rgb="FFFF0000"/>
        <rFont val="Calibri"/>
        <family val="2"/>
        <charset val="204"/>
        <scheme val="minor"/>
      </rPr>
      <t>всего имущества</t>
    </r>
    <r>
      <rPr>
        <b/>
        <sz val="13"/>
        <color theme="1"/>
        <rFont val="Calibri"/>
        <family val="2"/>
        <charset val="204"/>
        <scheme val="minor"/>
      </rPr>
      <t xml:space="preserve"> завода в рамках доходного подхода по состоянию на дату оценки составляет 800 млн руб. (без НДС).</t>
    </r>
  </si>
  <si>
    <r>
      <t xml:space="preserve">5.2.1.126. 4 балла.
Определить рыночную стоимость специализированной линии по производству чугунных заготовок на 01.01.2018 для залога </t>
    </r>
    <r>
      <rPr>
        <b/>
        <sz val="13"/>
        <color rgb="FFFF0000"/>
        <rFont val="Calibri"/>
        <family val="2"/>
        <charset val="204"/>
        <scheme val="minor"/>
      </rPr>
      <t>без учета НДС</t>
    </r>
    <r>
      <rPr>
        <b/>
        <sz val="13"/>
        <color theme="1"/>
        <rFont val="Calibri"/>
        <family val="2"/>
        <charset val="204"/>
        <scheme val="minor"/>
      </rPr>
      <t xml:space="preserve">.
Объект оценки приобретен в 2011 году, первоначальная стоимость 600 млн руб. без НДС. В период с 2001 по 2018 гг. цены выросли </t>
    </r>
    <r>
      <rPr>
        <b/>
        <sz val="13"/>
        <color rgb="FFFF0000"/>
        <rFont val="Calibri"/>
        <family val="2"/>
        <charset val="204"/>
        <scheme val="minor"/>
      </rPr>
      <t>на 154%</t>
    </r>
    <r>
      <rPr>
        <b/>
        <sz val="13"/>
        <color theme="1"/>
        <rFont val="Calibri"/>
        <family val="2"/>
        <charset val="204"/>
        <scheme val="minor"/>
      </rPr>
      <t xml:space="preserve">. В период с 2001 по 2011 гг. цены выросли в 1,56 раза.
Нормативный срок службы 18 лет. Эффективный возраст 10 лет.
Линия входит в состав имущественного комплекса завода. В имущественный комплекс входят ещё:
1. Административное здание, расположенное на обособленном земельном участке площадью 2 га. ЧОД данного </t>
    </r>
    <r>
      <rPr>
        <b/>
        <sz val="13"/>
        <color rgb="FFFF0000"/>
        <rFont val="Calibri"/>
        <family val="2"/>
        <charset val="204"/>
        <scheme val="minor"/>
      </rPr>
      <t>комплекса</t>
    </r>
    <r>
      <rPr>
        <b/>
        <sz val="13"/>
        <color theme="1"/>
        <rFont val="Calibri"/>
        <family val="2"/>
        <charset val="204"/>
        <scheme val="minor"/>
      </rPr>
      <t xml:space="preserve"> по состоянию на дату оценки составляет 9 млн. руб. в год без НДС. Соответствующий коэффициент капитализации 0,11. Рыночная стоимость земельного участка под административным зданием на дату оценки 350 000 руб. за сотку.
2. Земельный участок промплощадки площадью 77 га производственного назначения, с расположенными на нем основными производственными зданиями. Рыночная стоимость земельного участка на дату оценки 1,8 млн руб. за 1 га.
3. Производственное здание общепроизводственного назначения площадью 18000 кв. м, рыночной стоимостью 6500 руб. за 1 кв. м. без НДС, без учета стоимости земельного участка.
4. Вспомогательное </t>
    </r>
    <r>
      <rPr>
        <b/>
        <sz val="13"/>
        <color rgb="FFFF0000"/>
        <rFont val="Calibri"/>
        <family val="2"/>
        <charset val="204"/>
        <scheme val="minor"/>
      </rPr>
      <t>специализированное</t>
    </r>
    <r>
      <rPr>
        <b/>
        <sz val="13"/>
        <color theme="1"/>
        <rFont val="Calibri"/>
        <family val="2"/>
        <charset val="204"/>
        <scheme val="minor"/>
      </rPr>
      <t xml:space="preserve"> здание для размещения линии подготовки заготовок, полная стоимость замещения (без учета износа) на дату оценки составляет 20,85 млн руб. без НДС (без стоимости земли), накопленный физический износ на дату оценки 35%.
5. Железнодорожный парк, участвующий в производственном процессе; рыночная стоимость ж/д парка составляет 45,56 млн руб. без учета НДС.
6. На балансе предприятия числится санаторий в Хакасии рыночной стоимостью 271,2 млн. руб. с НДС.
7. Линия по подготовке заготовок, полная восстановительная стоимость на дату оценки 75 млн руб. без НДС, срок службы 15 лет, эффективный возраст 7 лет.
8. Все прочие активы являются специализированными и задействованы в производстве продукции предприятия. Затраты на замещение как новых данных прочих активов по состоянию на дату оценки составляет 51,15 млн. руб. без НДС. Физический износ 20% активов (в стоимостном выражении) составляет 27%, 15% активов – 37%, 65% активов – 57%.
Стоимость </t>
    </r>
    <r>
      <rPr>
        <b/>
        <sz val="13"/>
        <color rgb="FFFF0000"/>
        <rFont val="Calibri"/>
        <family val="2"/>
        <charset val="204"/>
        <scheme val="minor"/>
      </rPr>
      <t>операционного</t>
    </r>
    <r>
      <rPr>
        <b/>
        <sz val="13"/>
        <color theme="1"/>
        <rFont val="Calibri"/>
        <family val="2"/>
        <charset val="204"/>
        <scheme val="minor"/>
      </rPr>
      <t xml:space="preserve"> имущества завода в рамках доходного подхода по состоянию на дату оценки составляет 900 млн руб. (без НДС).</t>
    </r>
  </si>
  <si>
    <r>
      <t xml:space="preserve">5.2.1.118. Индекс цен с 01.01.2010 года по 01.01.2016 года равен 0,85, с 01.01.2010 года по 01.01.2013 года цены выросли </t>
    </r>
    <r>
      <rPr>
        <b/>
        <sz val="14"/>
        <color rgb="FFFF0000"/>
        <rFont val="Calibri"/>
        <family val="2"/>
        <charset val="204"/>
        <scheme val="minor"/>
      </rPr>
      <t>на 110%</t>
    </r>
    <r>
      <rPr>
        <b/>
        <sz val="14"/>
        <color theme="1"/>
        <rFont val="Calibri"/>
        <family val="2"/>
        <charset val="204"/>
        <scheme val="minor"/>
      </rPr>
      <t>, с 01.01.2016 года по 01.01.2018 года уменьшились в 1,4 раза. Найти среднемесячное изменение цен с 01.01.2013 года по 01.01.2018 года.</t>
    </r>
  </si>
  <si>
    <r>
      <t xml:space="preserve">5.2.1.132. По состоянию на дату </t>
    </r>
    <r>
      <rPr>
        <b/>
        <sz val="14"/>
        <color rgb="FFFF0000"/>
        <rFont val="Calibri"/>
        <family val="2"/>
        <charset val="204"/>
        <scheme val="minor"/>
      </rPr>
      <t>01.01.2017</t>
    </r>
    <r>
      <rPr>
        <b/>
        <sz val="14"/>
        <color theme="1"/>
        <rFont val="Calibri"/>
        <family val="2"/>
        <charset val="204"/>
        <scheme val="minor"/>
      </rPr>
      <t xml:space="preserve"> известно следующее: Производственная линия состоит из тестомесильного блока, формовочная машины и упаковочной части. Тестомесильный блок был куплен 2 года назад за 200 тыс. руб. с НДС (НДС 18%) с износом 50%, эффективный возраст был 4 года. Формовочная машина куплена 5 лет назад новой, поставлена на баланс по балансовой стоимости 400 тыс.руб., срок службы 7 лет, из-за использования сырья хорошего качества износ машины в 1,2 раза ниже обычного. Два года назад был проведён ремонт, который увеличил остаточный срок на 1 год. Текущая рыночная стоимость упаковочной линии - 300 тыс. руб. с НДС, эффективный возраст 4 года, остаточный 7 лет. Ежегодное уменьшение цен 10%. Износ начисляется линейно, функциональное и внешнее устаревание не выявлено. Рассчитать рыночную стоимость линии </t>
    </r>
    <r>
      <rPr>
        <b/>
        <i/>
        <sz val="14"/>
        <color rgb="FFFF0000"/>
        <rFont val="Calibri"/>
        <family val="2"/>
        <charset val="204"/>
        <scheme val="minor"/>
      </rPr>
      <t>на 01.01.2018</t>
    </r>
    <r>
      <rPr>
        <b/>
        <sz val="14"/>
        <color rgb="FFFF0000"/>
        <rFont val="Calibri"/>
        <family val="2"/>
        <charset val="204"/>
        <scheme val="minor"/>
      </rPr>
      <t xml:space="preserve"> без учета капитального ремонта</t>
    </r>
    <r>
      <rPr>
        <b/>
        <sz val="14"/>
        <color theme="1"/>
        <rFont val="Calibri"/>
        <family val="2"/>
        <charset val="204"/>
        <scheme val="minor"/>
      </rPr>
      <t xml:space="preserve"> (с НДС).</t>
    </r>
  </si>
  <si>
    <t>Через функцию ЧПС</t>
  </si>
  <si>
    <t>5.2.1.120. На рынке есть объект, аналогичный оцениваемому, стоимостью 90 т.р., параметр 70. Также на рынке найден аналог стоимостью 70 т.р., параметр 40. Коэффициент торможения по параметру – 0,28. Определить размер функциональный износ в процентах</t>
  </si>
  <si>
    <t>Аналог полный</t>
  </si>
  <si>
    <t>Аналог схожий</t>
  </si>
  <si>
    <t>Расчетная цена полного аналога</t>
  </si>
  <si>
    <t>При данных значениях функционального износа нет.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</si>
</sst>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0.00\ &quot;₽&quot;;[Red]\-#,##0.00\ &quot;₽&quot;"/>
    <numFmt numFmtId="164" formatCode="0.0000"/>
    <numFmt numFmtId="165" formatCode="#,##0.0000"/>
    <numFmt numFmtId="166" formatCode="#,##0.000"/>
    <numFmt numFmtId="167" formatCode="0.0%"/>
    <numFmt numFmtId="168" formatCode="0.000"/>
    <numFmt numFmtId="169" formatCode="#,##0.0"/>
    <numFmt numFmtId="170" formatCode="0.0000%"/>
    <numFmt numFmtId="171" formatCode="0.0"/>
  </numFmts>
  <fonts count="28">
    <font>
      <sz val="11"/>
      <color theme="1"/>
      <name val="Calibri"/>
      <family val="2"/>
      <charset val="204"/>
      <scheme val="minor"/>
    </font>
    <font>
      <sz val="14"/>
      <color theme="1"/>
      <name val="Calibri"/>
      <family val="2"/>
      <charset val="204"/>
      <scheme val="minor"/>
    </font>
    <font>
      <b/>
      <sz val="14"/>
      <color theme="1"/>
      <name val="Calibri"/>
      <family val="2"/>
      <charset val="204"/>
      <scheme val="minor"/>
    </font>
    <font>
      <b/>
      <sz val="26"/>
      <color theme="1"/>
      <name val="Calibri"/>
      <family val="2"/>
      <charset val="204"/>
      <scheme val="minor"/>
    </font>
    <font>
      <sz val="11"/>
      <color theme="1"/>
      <name val="Calibri"/>
      <family val="2"/>
      <charset val="204"/>
      <scheme val="minor"/>
    </font>
    <font>
      <b/>
      <i/>
      <sz val="14"/>
      <color theme="1"/>
      <name val="Calibri"/>
      <family val="2"/>
      <charset val="204"/>
      <scheme val="minor"/>
    </font>
    <font>
      <sz val="14"/>
      <color theme="1"/>
      <name val="Symbol"/>
      <family val="1"/>
      <charset val="2"/>
    </font>
    <font>
      <b/>
      <sz val="14"/>
      <color rgb="FFFF0000"/>
      <name val="Calibri"/>
      <family val="2"/>
      <charset val="204"/>
      <scheme val="minor"/>
    </font>
    <font>
      <b/>
      <sz val="14"/>
      <color rgb="FF7030A0"/>
      <name val="Calibri"/>
      <family val="2"/>
      <charset val="204"/>
      <scheme val="minor"/>
    </font>
    <font>
      <sz val="9"/>
      <color indexed="81"/>
      <name val="Tahoma"/>
      <family val="2"/>
      <charset val="204"/>
    </font>
    <font>
      <b/>
      <sz val="9"/>
      <color indexed="81"/>
      <name val="Tahoma"/>
      <family val="2"/>
      <charset val="204"/>
    </font>
    <font>
      <i/>
      <sz val="14"/>
      <color theme="1"/>
      <name val="Calibri"/>
      <family val="2"/>
      <charset val="204"/>
      <scheme val="minor"/>
    </font>
    <font>
      <sz val="14"/>
      <color rgb="FFFF0000"/>
      <name val="Calibri"/>
      <family val="2"/>
      <charset val="204"/>
      <scheme val="minor"/>
    </font>
    <font>
      <i/>
      <sz val="14"/>
      <color rgb="FFFF0000"/>
      <name val="Calibri"/>
      <family val="2"/>
      <charset val="204"/>
      <scheme val="minor"/>
    </font>
    <font>
      <b/>
      <i/>
      <sz val="14"/>
      <color rgb="FFFF0000"/>
      <name val="Calibri"/>
      <family val="2"/>
      <charset val="204"/>
      <scheme val="minor"/>
    </font>
    <font>
      <i/>
      <sz val="14"/>
      <name val="Calibri"/>
      <family val="2"/>
      <charset val="204"/>
      <scheme val="minor"/>
    </font>
    <font>
      <b/>
      <sz val="22"/>
      <color theme="1"/>
      <name val="Calibri"/>
      <family val="2"/>
      <charset val="204"/>
      <scheme val="minor"/>
    </font>
    <font>
      <i/>
      <sz val="22"/>
      <color theme="1"/>
      <name val="Calibri"/>
      <family val="1"/>
      <charset val="2"/>
      <scheme val="minor"/>
    </font>
    <font>
      <sz val="22"/>
      <color theme="1"/>
      <name val="Symbol"/>
      <family val="1"/>
      <charset val="2"/>
    </font>
    <font>
      <i/>
      <sz val="22"/>
      <color theme="1"/>
      <name val="Calibri"/>
      <family val="2"/>
      <charset val="204"/>
    </font>
    <font>
      <i/>
      <sz val="22"/>
      <color theme="1"/>
      <name val="Calibri"/>
      <family val="2"/>
      <charset val="204"/>
      <scheme val="minor"/>
    </font>
    <font>
      <b/>
      <sz val="14"/>
      <name val="Calibri"/>
      <family val="2"/>
      <charset val="204"/>
      <scheme val="minor"/>
    </font>
    <font>
      <b/>
      <sz val="14"/>
      <color rgb="FF00B050"/>
      <name val="Calibri"/>
      <family val="2"/>
      <charset val="204"/>
      <scheme val="minor"/>
    </font>
    <font>
      <b/>
      <sz val="14"/>
      <color rgb="FF0070C0"/>
      <name val="Calibri"/>
      <family val="2"/>
      <charset val="204"/>
      <scheme val="minor"/>
    </font>
    <font>
      <sz val="14"/>
      <name val="Calibri"/>
      <family val="2"/>
      <charset val="204"/>
      <scheme val="minor"/>
    </font>
    <font>
      <b/>
      <sz val="13"/>
      <color theme="1"/>
      <name val="Calibri"/>
      <family val="2"/>
      <charset val="204"/>
      <scheme val="minor"/>
    </font>
    <font>
      <b/>
      <i/>
      <sz val="14"/>
      <color rgb="FF7030A0"/>
      <name val="Calibri"/>
      <family val="2"/>
      <charset val="204"/>
      <scheme val="minor"/>
    </font>
    <font>
      <b/>
      <sz val="13"/>
      <color rgb="FFFF0000"/>
      <name val="Calibri"/>
      <family val="2"/>
      <charset val="204"/>
      <scheme val="minor"/>
    </font>
  </fonts>
  <fills count="7">
    <fill>
      <patternFill patternType="none"/>
    </fill>
    <fill>
      <patternFill patternType="gray125"/>
    </fill>
    <fill>
      <patternFill patternType="solid">
        <fgColor theme="9" tint="0.79998168889431442"/>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8" tint="0.79998168889431442"/>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ck">
        <color auto="1"/>
      </right>
      <top/>
      <bottom style="medium">
        <color indexed="64"/>
      </bottom>
      <diagonal/>
    </border>
    <border>
      <left/>
      <right/>
      <top/>
      <bottom style="medium">
        <color indexed="64"/>
      </bottom>
      <diagonal/>
    </border>
    <border>
      <left/>
      <right style="thick">
        <color auto="1"/>
      </right>
      <top/>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thick">
        <color indexed="64"/>
      </bottom>
      <diagonal/>
    </border>
    <border>
      <left/>
      <right/>
      <top style="thin">
        <color indexed="64"/>
      </top>
      <bottom/>
      <diagonal/>
    </border>
    <border>
      <left/>
      <right style="thin">
        <color indexed="64"/>
      </right>
      <top style="thin">
        <color indexed="64"/>
      </top>
      <bottom/>
      <diagonal/>
    </border>
    <border>
      <left/>
      <right style="thick">
        <color auto="1"/>
      </right>
      <top/>
      <bottom style="thin">
        <color indexed="64"/>
      </bottom>
      <diagonal/>
    </border>
    <border>
      <left/>
      <right/>
      <top/>
      <bottom style="thin">
        <color indexed="64"/>
      </bottom>
      <diagonal/>
    </border>
    <border>
      <left/>
      <right/>
      <top style="thin">
        <color indexed="64"/>
      </top>
      <bottom style="thick">
        <color indexed="64"/>
      </bottom>
      <diagonal/>
    </border>
    <border>
      <left style="thin">
        <color indexed="64"/>
      </left>
      <right style="thin">
        <color indexed="64"/>
      </right>
      <top style="thin">
        <color indexed="64"/>
      </top>
      <bottom/>
      <diagonal/>
    </border>
  </borders>
  <cellStyleXfs count="2">
    <xf numFmtId="0" fontId="0" fillId="0" borderId="0"/>
    <xf numFmtId="9" fontId="4" fillId="0" borderId="0" applyFont="0" applyFill="0" applyBorder="0" applyAlignment="0" applyProtection="0"/>
  </cellStyleXfs>
  <cellXfs count="239">
    <xf numFmtId="0" fontId="0" fillId="0" borderId="0" xfId="0"/>
    <xf numFmtId="4" fontId="1" fillId="0" borderId="0" xfId="0" applyNumberFormat="1" applyFont="1"/>
    <xf numFmtId="4" fontId="2" fillId="0" borderId="0" xfId="0" applyNumberFormat="1" applyFont="1"/>
    <xf numFmtId="4" fontId="1" fillId="0" borderId="4" xfId="0" applyNumberFormat="1" applyFont="1" applyBorder="1"/>
    <xf numFmtId="4" fontId="1" fillId="0" borderId="4" xfId="0" applyNumberFormat="1" applyFont="1" applyBorder="1" applyAlignment="1">
      <alignment horizontal="center"/>
    </xf>
    <xf numFmtId="3" fontId="1" fillId="0" borderId="4" xfId="0" applyNumberFormat="1" applyFont="1" applyBorder="1" applyAlignment="1">
      <alignment horizontal="center"/>
    </xf>
    <xf numFmtId="4" fontId="5" fillId="0" borderId="4" xfId="0" applyNumberFormat="1" applyFont="1" applyBorder="1"/>
    <xf numFmtId="10" fontId="1" fillId="0" borderId="4" xfId="1" applyNumberFormat="1" applyFont="1" applyBorder="1"/>
    <xf numFmtId="4" fontId="1" fillId="3" borderId="4" xfId="0" applyNumberFormat="1" applyFont="1" applyFill="1" applyBorder="1"/>
    <xf numFmtId="9" fontId="1" fillId="0" borderId="4" xfId="1" applyFont="1" applyBorder="1"/>
    <xf numFmtId="4" fontId="2" fillId="0" borderId="4" xfId="0" applyNumberFormat="1" applyFont="1" applyBorder="1"/>
    <xf numFmtId="4" fontId="2" fillId="3" borderId="0" xfId="0" applyNumberFormat="1" applyFont="1" applyFill="1"/>
    <xf numFmtId="9" fontId="1" fillId="3" borderId="4" xfId="1" applyFont="1" applyFill="1" applyBorder="1"/>
    <xf numFmtId="9" fontId="2" fillId="0" borderId="4" xfId="1" applyFont="1" applyBorder="1"/>
    <xf numFmtId="10" fontId="2" fillId="0" borderId="4" xfId="1" applyNumberFormat="1" applyFont="1" applyBorder="1"/>
    <xf numFmtId="4" fontId="2" fillId="3" borderId="4" xfId="0" applyNumberFormat="1" applyFont="1" applyFill="1" applyBorder="1"/>
    <xf numFmtId="4" fontId="5" fillId="0" borderId="0" xfId="0" applyNumberFormat="1" applyFont="1"/>
    <xf numFmtId="9" fontId="1" fillId="0" borderId="0" xfId="1" applyFont="1"/>
    <xf numFmtId="1" fontId="1" fillId="0" borderId="4" xfId="0" applyNumberFormat="1" applyFont="1" applyBorder="1"/>
    <xf numFmtId="1" fontId="1" fillId="0" borderId="4" xfId="0" applyNumberFormat="1" applyFont="1" applyBorder="1" applyAlignment="1">
      <alignment horizontal="center"/>
    </xf>
    <xf numFmtId="164" fontId="1" fillId="0" borderId="4" xfId="0" applyNumberFormat="1" applyFont="1" applyBorder="1" applyAlignment="1">
      <alignment horizontal="center"/>
    </xf>
    <xf numFmtId="10" fontId="1" fillId="0" borderId="4" xfId="1" applyNumberFormat="1" applyFont="1" applyBorder="1" applyAlignment="1">
      <alignment horizontal="center"/>
    </xf>
    <xf numFmtId="9" fontId="1" fillId="0" borderId="4" xfId="1" applyFont="1" applyBorder="1" applyAlignment="1">
      <alignment horizontal="center"/>
    </xf>
    <xf numFmtId="4" fontId="1" fillId="3" borderId="0" xfId="0" applyNumberFormat="1" applyFont="1" applyFill="1"/>
    <xf numFmtId="4" fontId="11" fillId="0" borderId="0" xfId="0" applyNumberFormat="1" applyFont="1"/>
    <xf numFmtId="165" fontId="1" fillId="0" borderId="4" xfId="0" applyNumberFormat="1" applyFont="1" applyBorder="1"/>
    <xf numFmtId="1" fontId="1" fillId="0" borderId="4" xfId="1" applyNumberFormat="1" applyFont="1" applyBorder="1"/>
    <xf numFmtId="165" fontId="2" fillId="0" borderId="4" xfId="0" applyNumberFormat="1" applyFont="1" applyBorder="1"/>
    <xf numFmtId="4" fontId="11" fillId="0" borderId="4" xfId="0" applyNumberFormat="1" applyFont="1" applyBorder="1"/>
    <xf numFmtId="4" fontId="1" fillId="0" borderId="0" xfId="0" applyNumberFormat="1" applyFont="1" applyAlignment="1">
      <alignment horizontal="center"/>
    </xf>
    <xf numFmtId="166" fontId="1" fillId="0" borderId="4" xfId="0" applyNumberFormat="1" applyFont="1" applyBorder="1"/>
    <xf numFmtId="168" fontId="1" fillId="0" borderId="4" xfId="0" applyNumberFormat="1" applyFont="1" applyBorder="1"/>
    <xf numFmtId="4" fontId="1" fillId="0" borderId="5" xfId="0" applyNumberFormat="1" applyFont="1" applyBorder="1" applyAlignment="1">
      <alignment horizontal="center"/>
    </xf>
    <xf numFmtId="4" fontId="1" fillId="0" borderId="6" xfId="0" applyNumberFormat="1" applyFont="1" applyBorder="1" applyAlignment="1">
      <alignment horizontal="center"/>
    </xf>
    <xf numFmtId="4" fontId="1" fillId="0" borderId="7" xfId="0" applyNumberFormat="1" applyFont="1" applyBorder="1" applyAlignment="1">
      <alignment horizontal="center"/>
    </xf>
    <xf numFmtId="4" fontId="13" fillId="0" borderId="0" xfId="0" applyNumberFormat="1" applyFont="1"/>
    <xf numFmtId="14" fontId="1" fillId="0" borderId="4" xfId="0" applyNumberFormat="1" applyFont="1" applyBorder="1"/>
    <xf numFmtId="3" fontId="1" fillId="0" borderId="4" xfId="0" applyNumberFormat="1" applyFont="1" applyBorder="1"/>
    <xf numFmtId="167" fontId="1" fillId="0" borderId="4" xfId="1" applyNumberFormat="1" applyFont="1" applyBorder="1"/>
    <xf numFmtId="4" fontId="1" fillId="0" borderId="9" xfId="0" applyNumberFormat="1" applyFont="1" applyBorder="1" applyAlignment="1">
      <alignment horizontal="center"/>
    </xf>
    <xf numFmtId="4" fontId="1" fillId="0" borderId="10" xfId="0" applyNumberFormat="1" applyFont="1" applyBorder="1"/>
    <xf numFmtId="4" fontId="1" fillId="0" borderId="11" xfId="0" applyNumberFormat="1" applyFont="1" applyBorder="1"/>
    <xf numFmtId="3" fontId="1" fillId="0" borderId="11" xfId="0" applyNumberFormat="1" applyFont="1" applyBorder="1" applyAlignment="1">
      <alignment horizontal="center"/>
    </xf>
    <xf numFmtId="10" fontId="1" fillId="0" borderId="11" xfId="1" applyNumberFormat="1" applyFont="1" applyBorder="1"/>
    <xf numFmtId="4" fontId="1" fillId="0" borderId="12" xfId="0" applyNumberFormat="1" applyFont="1" applyBorder="1" applyAlignment="1">
      <alignment horizontal="center"/>
    </xf>
    <xf numFmtId="4" fontId="1" fillId="0" borderId="13" xfId="0" applyNumberFormat="1" applyFont="1" applyBorder="1"/>
    <xf numFmtId="4" fontId="1" fillId="0" borderId="8" xfId="0" applyNumberFormat="1" applyFont="1" applyBorder="1"/>
    <xf numFmtId="3" fontId="1" fillId="0" borderId="8" xfId="0" applyNumberFormat="1" applyFont="1" applyBorder="1" applyAlignment="1">
      <alignment horizontal="center"/>
    </xf>
    <xf numFmtId="10" fontId="1" fillId="0" borderId="8" xfId="1" applyNumberFormat="1" applyFont="1" applyBorder="1"/>
    <xf numFmtId="166" fontId="2" fillId="0" borderId="4" xfId="0" applyNumberFormat="1" applyFont="1" applyBorder="1"/>
    <xf numFmtId="10" fontId="2" fillId="3" borderId="4" xfId="1" applyNumberFormat="1" applyFont="1" applyFill="1" applyBorder="1"/>
    <xf numFmtId="10" fontId="2" fillId="0" borderId="0" xfId="1" applyNumberFormat="1" applyFont="1" applyAlignment="1">
      <alignment horizontal="center"/>
    </xf>
    <xf numFmtId="10" fontId="2" fillId="0" borderId="0" xfId="1" applyNumberFormat="1" applyFont="1"/>
    <xf numFmtId="3" fontId="2" fillId="0" borderId="4" xfId="0" applyNumberFormat="1" applyFont="1" applyBorder="1" applyAlignment="1">
      <alignment horizontal="center"/>
    </xf>
    <xf numFmtId="4" fontId="2" fillId="0" borderId="4" xfId="0" applyNumberFormat="1" applyFont="1" applyBorder="1" applyAlignment="1">
      <alignment horizontal="center"/>
    </xf>
    <xf numFmtId="169" fontId="1" fillId="0" borderId="4" xfId="0" applyNumberFormat="1" applyFont="1" applyBorder="1" applyAlignment="1">
      <alignment horizontal="center"/>
    </xf>
    <xf numFmtId="166" fontId="1" fillId="0" borderId="4" xfId="0" applyNumberFormat="1" applyFont="1" applyBorder="1" applyAlignment="1">
      <alignment horizontal="center"/>
    </xf>
    <xf numFmtId="4" fontId="1" fillId="0" borderId="14" xfId="0" applyNumberFormat="1" applyFont="1" applyBorder="1"/>
    <xf numFmtId="4" fontId="1" fillId="0" borderId="15" xfId="0" applyNumberFormat="1" applyFont="1" applyBorder="1" applyAlignment="1">
      <alignment horizontal="center"/>
    </xf>
    <xf numFmtId="4" fontId="1" fillId="0" borderId="16" xfId="0" applyNumberFormat="1" applyFont="1" applyBorder="1" applyAlignment="1">
      <alignment horizontal="center"/>
    </xf>
    <xf numFmtId="4" fontId="1" fillId="0" borderId="17" xfId="0" applyNumberFormat="1" applyFont="1" applyBorder="1"/>
    <xf numFmtId="4" fontId="1" fillId="0" borderId="18" xfId="0" applyNumberFormat="1" applyFont="1" applyBorder="1" applyAlignment="1">
      <alignment horizontal="center"/>
    </xf>
    <xf numFmtId="10" fontId="1" fillId="0" borderId="18" xfId="1" applyNumberFormat="1" applyFont="1" applyBorder="1" applyAlignment="1">
      <alignment horizontal="center"/>
    </xf>
    <xf numFmtId="4" fontId="1" fillId="0" borderId="19" xfId="0" applyNumberFormat="1" applyFont="1" applyBorder="1"/>
    <xf numFmtId="10" fontId="1" fillId="0" borderId="20" xfId="1" applyNumberFormat="1" applyFont="1" applyBorder="1" applyAlignment="1">
      <alignment horizontal="center"/>
    </xf>
    <xf numFmtId="10" fontId="1" fillId="0" borderId="21" xfId="1" applyNumberFormat="1" applyFont="1" applyBorder="1" applyAlignment="1">
      <alignment horizontal="center"/>
    </xf>
    <xf numFmtId="3" fontId="1" fillId="0" borderId="18" xfId="0" applyNumberFormat="1" applyFont="1" applyBorder="1" applyAlignment="1">
      <alignment horizontal="center"/>
    </xf>
    <xf numFmtId="3" fontId="2" fillId="0" borderId="18" xfId="0" applyNumberFormat="1" applyFont="1" applyBorder="1" applyAlignment="1">
      <alignment horizontal="center"/>
    </xf>
    <xf numFmtId="9" fontId="1" fillId="0" borderId="18" xfId="1" applyFont="1" applyBorder="1" applyAlignment="1">
      <alignment horizontal="center"/>
    </xf>
    <xf numFmtId="4" fontId="2" fillId="0" borderId="18" xfId="0" applyNumberFormat="1" applyFont="1" applyBorder="1" applyAlignment="1">
      <alignment horizontal="center"/>
    </xf>
    <xf numFmtId="166" fontId="1" fillId="0" borderId="18" xfId="0" applyNumberFormat="1" applyFont="1" applyBorder="1" applyAlignment="1">
      <alignment horizontal="center"/>
    </xf>
    <xf numFmtId="4" fontId="1" fillId="0" borderId="20" xfId="0" applyNumberFormat="1" applyFont="1" applyBorder="1" applyAlignment="1">
      <alignment horizontal="center"/>
    </xf>
    <xf numFmtId="4" fontId="1" fillId="0" borderId="21" xfId="0" applyNumberFormat="1" applyFont="1" applyBorder="1" applyAlignment="1">
      <alignment horizontal="center"/>
    </xf>
    <xf numFmtId="10" fontId="2" fillId="3" borderId="0" xfId="1" applyNumberFormat="1" applyFont="1" applyFill="1" applyAlignment="1">
      <alignment horizontal="center"/>
    </xf>
    <xf numFmtId="10" fontId="2" fillId="0" borderId="0" xfId="1" applyNumberFormat="1" applyFont="1" applyFill="1" applyAlignment="1">
      <alignment horizontal="center"/>
    </xf>
    <xf numFmtId="4" fontId="7" fillId="0" borderId="4" xfId="0" applyNumberFormat="1" applyFont="1" applyBorder="1"/>
    <xf numFmtId="10" fontId="2" fillId="3" borderId="0" xfId="1" applyNumberFormat="1" applyFont="1" applyFill="1"/>
    <xf numFmtId="10" fontId="2" fillId="0" borderId="0" xfId="1" applyNumberFormat="1" applyFont="1" applyFill="1"/>
    <xf numFmtId="4" fontId="14" fillId="0" borderId="0" xfId="0" applyNumberFormat="1" applyFont="1"/>
    <xf numFmtId="49" fontId="1" fillId="0" borderId="4" xfId="0" applyNumberFormat="1" applyFont="1" applyBorder="1" applyAlignment="1">
      <alignment horizontal="center"/>
    </xf>
    <xf numFmtId="4" fontId="1" fillId="0" borderId="4" xfId="0" applyNumberFormat="1" applyFont="1" applyBorder="1" applyAlignment="1">
      <alignment vertical="center"/>
    </xf>
    <xf numFmtId="4" fontId="1" fillId="0" borderId="4" xfId="0" applyNumberFormat="1" applyFont="1" applyBorder="1" applyAlignment="1">
      <alignment horizontal="center" wrapText="1"/>
    </xf>
    <xf numFmtId="4" fontId="1" fillId="0" borderId="4" xfId="0" applyNumberFormat="1" applyFont="1" applyBorder="1" applyAlignment="1">
      <alignment horizontal="right"/>
    </xf>
    <xf numFmtId="168" fontId="1" fillId="4" borderId="4" xfId="0" applyNumberFormat="1" applyFont="1" applyFill="1" applyBorder="1" applyAlignment="1">
      <alignment horizontal="center"/>
    </xf>
    <xf numFmtId="4" fontId="12" fillId="0" borderId="4" xfId="0" applyNumberFormat="1" applyFont="1" applyBorder="1" applyAlignment="1">
      <alignment horizontal="center"/>
    </xf>
    <xf numFmtId="1" fontId="12" fillId="0" borderId="4" xfId="0" applyNumberFormat="1" applyFont="1" applyBorder="1" applyAlignment="1">
      <alignment horizontal="center"/>
    </xf>
    <xf numFmtId="14" fontId="1" fillId="0" borderId="4" xfId="0" applyNumberFormat="1" applyFont="1" applyBorder="1" applyAlignment="1">
      <alignment horizontal="center"/>
    </xf>
    <xf numFmtId="49" fontId="12" fillId="0" borderId="4" xfId="0" applyNumberFormat="1" applyFont="1" applyBorder="1" applyAlignment="1">
      <alignment horizontal="center"/>
    </xf>
    <xf numFmtId="165" fontId="2" fillId="0" borderId="4" xfId="0" applyNumberFormat="1" applyFont="1" applyBorder="1" applyAlignment="1">
      <alignment horizontal="center"/>
    </xf>
    <xf numFmtId="165" fontId="1" fillId="0" borderId="4" xfId="0" applyNumberFormat="1" applyFont="1" applyBorder="1" applyAlignment="1">
      <alignment horizontal="center"/>
    </xf>
    <xf numFmtId="170" fontId="2" fillId="3" borderId="4" xfId="1" applyNumberFormat="1" applyFont="1" applyFill="1" applyBorder="1" applyAlignment="1">
      <alignment horizontal="center"/>
    </xf>
    <xf numFmtId="4" fontId="7" fillId="0" borderId="22" xfId="0" applyNumberFormat="1" applyFont="1" applyBorder="1" applyAlignment="1">
      <alignment horizontal="center"/>
    </xf>
    <xf numFmtId="4" fontId="1" fillId="0" borderId="23" xfId="0" applyNumberFormat="1" applyFont="1" applyBorder="1"/>
    <xf numFmtId="4" fontId="1" fillId="0" borderId="24" xfId="0" applyNumberFormat="1" applyFont="1" applyBorder="1"/>
    <xf numFmtId="4" fontId="2" fillId="0" borderId="25" xfId="0" applyNumberFormat="1" applyFont="1" applyBorder="1" applyAlignment="1">
      <alignment horizontal="center"/>
    </xf>
    <xf numFmtId="4" fontId="2" fillId="0" borderId="26" xfId="0" applyNumberFormat="1" applyFont="1" applyBorder="1" applyAlignment="1">
      <alignment horizontal="center"/>
    </xf>
    <xf numFmtId="4" fontId="1" fillId="0" borderId="26" xfId="0" applyNumberFormat="1" applyFont="1" applyBorder="1"/>
    <xf numFmtId="4" fontId="7" fillId="0" borderId="27" xfId="0" applyNumberFormat="1" applyFont="1" applyBorder="1" applyAlignment="1">
      <alignment horizontal="center"/>
    </xf>
    <xf numFmtId="10" fontId="1" fillId="0" borderId="0" xfId="1" applyNumberFormat="1" applyFont="1"/>
    <xf numFmtId="168" fontId="7" fillId="4" borderId="4" xfId="0" applyNumberFormat="1" applyFont="1" applyFill="1" applyBorder="1" applyAlignment="1">
      <alignment horizontal="center"/>
    </xf>
    <xf numFmtId="167" fontId="1" fillId="0" borderId="4" xfId="1" applyNumberFormat="1" applyFont="1" applyBorder="1" applyAlignment="1">
      <alignment horizontal="center"/>
    </xf>
    <xf numFmtId="4" fontId="1" fillId="4" borderId="4" xfId="0" applyNumberFormat="1" applyFont="1" applyFill="1" applyBorder="1"/>
    <xf numFmtId="4" fontId="1" fillId="4" borderId="4" xfId="0" applyNumberFormat="1" applyFont="1" applyFill="1" applyBorder="1" applyAlignment="1">
      <alignment horizontal="center"/>
    </xf>
    <xf numFmtId="10" fontId="1" fillId="4" borderId="0" xfId="1" applyNumberFormat="1" applyFont="1" applyFill="1"/>
    <xf numFmtId="4" fontId="2" fillId="3" borderId="0" xfId="0" applyNumberFormat="1" applyFont="1" applyFill="1" applyAlignment="1">
      <alignment horizontal="center"/>
    </xf>
    <xf numFmtId="0" fontId="1" fillId="0" borderId="0" xfId="0" applyFont="1"/>
    <xf numFmtId="0" fontId="1" fillId="0" borderId="0" xfId="0" applyFont="1" applyAlignment="1">
      <alignment horizontal="center"/>
    </xf>
    <xf numFmtId="0" fontId="1" fillId="0" borderId="4" xfId="0" applyFont="1" applyBorder="1"/>
    <xf numFmtId="0" fontId="1" fillId="0" borderId="4" xfId="0" applyFont="1" applyBorder="1" applyAlignment="1">
      <alignment horizontal="center"/>
    </xf>
    <xf numFmtId="9" fontId="1" fillId="0" borderId="4" xfId="0" applyNumberFormat="1" applyFont="1" applyBorder="1" applyAlignment="1">
      <alignment horizontal="center"/>
    </xf>
    <xf numFmtId="0" fontId="11" fillId="0" borderId="0" xfId="0" applyFont="1"/>
    <xf numFmtId="0" fontId="7" fillId="0" borderId="0" xfId="0" applyFont="1"/>
    <xf numFmtId="9" fontId="1" fillId="0" borderId="4" xfId="0" applyNumberFormat="1" applyFont="1" applyBorder="1"/>
    <xf numFmtId="0" fontId="5" fillId="0" borderId="4" xfId="0" applyFont="1" applyBorder="1"/>
    <xf numFmtId="10" fontId="1" fillId="0" borderId="4" xfId="0" applyNumberFormat="1" applyFont="1" applyBorder="1"/>
    <xf numFmtId="0" fontId="1" fillId="4" borderId="4" xfId="0" applyFont="1" applyFill="1" applyBorder="1" applyAlignment="1">
      <alignment horizontal="center"/>
    </xf>
    <xf numFmtId="0" fontId="5" fillId="0" borderId="0" xfId="0" applyFont="1"/>
    <xf numFmtId="10" fontId="2" fillId="3" borderId="4" xfId="0" applyNumberFormat="1" applyFont="1" applyFill="1" applyBorder="1"/>
    <xf numFmtId="0" fontId="13" fillId="0" borderId="0" xfId="0" applyFont="1"/>
    <xf numFmtId="0" fontId="1" fillId="0" borderId="0" xfId="0" applyFont="1" applyAlignment="1">
      <alignment horizontal="center" vertical="center"/>
    </xf>
    <xf numFmtId="0" fontId="1" fillId="0" borderId="4" xfId="0" applyFont="1" applyBorder="1" applyAlignment="1">
      <alignment horizontal="center" vertical="center"/>
    </xf>
    <xf numFmtId="4" fontId="1" fillId="0" borderId="4" xfId="0" applyNumberFormat="1" applyFont="1" applyBorder="1" applyAlignment="1">
      <alignment horizontal="center" vertical="center"/>
    </xf>
    <xf numFmtId="4" fontId="2" fillId="0" borderId="4" xfId="0" applyNumberFormat="1" applyFont="1" applyBorder="1" applyAlignment="1">
      <alignment horizontal="center" vertical="center"/>
    </xf>
    <xf numFmtId="4" fontId="1" fillId="4" borderId="4" xfId="0" applyNumberFormat="1" applyFont="1" applyFill="1" applyBorder="1" applyAlignment="1">
      <alignment horizontal="center" vertical="center"/>
    </xf>
    <xf numFmtId="9" fontId="1" fillId="0" borderId="4" xfId="0" applyNumberFormat="1" applyFont="1" applyBorder="1" applyAlignment="1">
      <alignment horizontal="center" vertical="center"/>
    </xf>
    <xf numFmtId="0" fontId="1" fillId="0" borderId="28" xfId="0" applyFont="1" applyBorder="1"/>
    <xf numFmtId="4" fontId="1" fillId="0" borderId="28" xfId="0" applyNumberFormat="1" applyFont="1" applyBorder="1" applyAlignment="1">
      <alignment horizontal="center" vertical="center"/>
    </xf>
    <xf numFmtId="4" fontId="1" fillId="5" borderId="4" xfId="0" applyNumberFormat="1" applyFont="1" applyFill="1" applyBorder="1" applyAlignment="1">
      <alignment horizontal="center" vertical="center"/>
    </xf>
    <xf numFmtId="4" fontId="7" fillId="0" borderId="0" xfId="0" applyNumberFormat="1" applyFont="1"/>
    <xf numFmtId="49" fontId="1" fillId="0" borderId="0" xfId="0" applyNumberFormat="1" applyFont="1" applyAlignment="1">
      <alignment horizontal="center"/>
    </xf>
    <xf numFmtId="49" fontId="12" fillId="0" borderId="0" xfId="0" applyNumberFormat="1" applyFont="1" applyAlignment="1">
      <alignment horizontal="center"/>
    </xf>
    <xf numFmtId="4" fontId="11" fillId="0" borderId="0" xfId="0" applyNumberFormat="1" applyFont="1" applyAlignment="1">
      <alignment horizontal="left"/>
    </xf>
    <xf numFmtId="0" fontId="14" fillId="0" borderId="0" xfId="0" applyFont="1"/>
    <xf numFmtId="0" fontId="12" fillId="0" borderId="4" xfId="0" applyFont="1" applyBorder="1"/>
    <xf numFmtId="168" fontId="2" fillId="4" borderId="4" xfId="0" applyNumberFormat="1" applyFont="1" applyFill="1" applyBorder="1" applyAlignment="1">
      <alignment horizontal="center"/>
    </xf>
    <xf numFmtId="165" fontId="1" fillId="0" borderId="0" xfId="0" applyNumberFormat="1" applyFont="1"/>
    <xf numFmtId="4" fontId="12" fillId="0" borderId="0" xfId="0" applyNumberFormat="1" applyFont="1"/>
    <xf numFmtId="0" fontId="16" fillId="0" borderId="0" xfId="0" applyFont="1"/>
    <xf numFmtId="0" fontId="17" fillId="0" borderId="0" xfId="0" applyFont="1"/>
    <xf numFmtId="9" fontId="1" fillId="0" borderId="0" xfId="0" applyNumberFormat="1" applyFont="1"/>
    <xf numFmtId="9" fontId="11" fillId="0" borderId="0" xfId="0" applyNumberFormat="1" applyFont="1"/>
    <xf numFmtId="0" fontId="1" fillId="3" borderId="4" xfId="0" applyFont="1" applyFill="1" applyBorder="1" applyAlignment="1">
      <alignment horizontal="center"/>
    </xf>
    <xf numFmtId="4" fontId="1" fillId="0" borderId="4" xfId="1" applyNumberFormat="1" applyFont="1" applyBorder="1"/>
    <xf numFmtId="3" fontId="7" fillId="0" borderId="4" xfId="0" applyNumberFormat="1" applyFont="1" applyBorder="1" applyAlignment="1">
      <alignment horizontal="center"/>
    </xf>
    <xf numFmtId="165" fontId="2" fillId="3" borderId="4" xfId="0" applyNumberFormat="1" applyFont="1" applyFill="1" applyBorder="1"/>
    <xf numFmtId="4" fontId="1" fillId="0" borderId="0" xfId="0" applyNumberFormat="1" applyFont="1" applyAlignment="1">
      <alignment horizontal="right"/>
    </xf>
    <xf numFmtId="10" fontId="1" fillId="0" borderId="0" xfId="0" applyNumberFormat="1" applyFont="1"/>
    <xf numFmtId="10" fontId="2" fillId="0" borderId="0" xfId="0" applyNumberFormat="1" applyFont="1"/>
    <xf numFmtId="10" fontId="2" fillId="3" borderId="0" xfId="0" applyNumberFormat="1" applyFont="1" applyFill="1"/>
    <xf numFmtId="3" fontId="2" fillId="3" borderId="4" xfId="0" applyNumberFormat="1" applyFont="1" applyFill="1" applyBorder="1"/>
    <xf numFmtId="4" fontId="21" fillId="0" borderId="22" xfId="0" applyNumberFormat="1" applyFont="1" applyBorder="1" applyAlignment="1">
      <alignment horizontal="center"/>
    </xf>
    <xf numFmtId="4" fontId="21" fillId="0" borderId="27" xfId="0" applyNumberFormat="1" applyFont="1" applyBorder="1" applyAlignment="1">
      <alignment horizontal="center"/>
    </xf>
    <xf numFmtId="9" fontId="1" fillId="0" borderId="0" xfId="0" applyNumberFormat="1" applyFont="1" applyAlignment="1">
      <alignment horizontal="center" vertical="center"/>
    </xf>
    <xf numFmtId="167" fontId="2" fillId="3" borderId="4" xfId="0" applyNumberFormat="1" applyFont="1" applyFill="1" applyBorder="1"/>
    <xf numFmtId="0" fontId="2" fillId="3" borderId="0" xfId="0" applyFont="1" applyFill="1"/>
    <xf numFmtId="1" fontId="2" fillId="0" borderId="4" xfId="0" applyNumberFormat="1" applyFont="1" applyBorder="1" applyAlignment="1">
      <alignment horizontal="center"/>
    </xf>
    <xf numFmtId="4" fontId="22" fillId="0" borderId="0" xfId="0" applyNumberFormat="1" applyFont="1"/>
    <xf numFmtId="4" fontId="23" fillId="0" borderId="0" xfId="0" applyNumberFormat="1" applyFont="1"/>
    <xf numFmtId="4" fontId="2" fillId="3" borderId="4" xfId="0" applyNumberFormat="1" applyFont="1" applyFill="1" applyBorder="1" applyAlignment="1">
      <alignment horizontal="center" vertical="center"/>
    </xf>
    <xf numFmtId="165" fontId="2" fillId="3" borderId="0" xfId="0" applyNumberFormat="1" applyFont="1" applyFill="1"/>
    <xf numFmtId="8" fontId="1" fillId="0" borderId="0" xfId="0" applyNumberFormat="1" applyFont="1"/>
    <xf numFmtId="0" fontId="2" fillId="0" borderId="0" xfId="0" applyFont="1"/>
    <xf numFmtId="166" fontId="2" fillId="3" borderId="4" xfId="0" applyNumberFormat="1" applyFont="1" applyFill="1" applyBorder="1"/>
    <xf numFmtId="4" fontId="12" fillId="0" borderId="0" xfId="0" applyNumberFormat="1" applyFont="1" applyAlignment="1">
      <alignment horizontal="right"/>
    </xf>
    <xf numFmtId="0" fontId="12" fillId="0" borderId="0" xfId="0" applyFont="1"/>
    <xf numFmtId="3" fontId="1" fillId="4" borderId="4" xfId="0" applyNumberFormat="1" applyFont="1" applyFill="1" applyBorder="1" applyAlignment="1">
      <alignment horizontal="center"/>
    </xf>
    <xf numFmtId="9" fontId="1" fillId="4" borderId="4" xfId="1" applyFont="1" applyFill="1" applyBorder="1" applyAlignment="1">
      <alignment horizontal="center"/>
    </xf>
    <xf numFmtId="9" fontId="1" fillId="4" borderId="18" xfId="1" applyFont="1" applyFill="1" applyBorder="1" applyAlignment="1">
      <alignment horizontal="center"/>
    </xf>
    <xf numFmtId="2" fontId="1" fillId="0" borderId="0" xfId="0" applyNumberFormat="1" applyFont="1"/>
    <xf numFmtId="2" fontId="1" fillId="0" borderId="4" xfId="0" applyNumberFormat="1" applyFont="1" applyBorder="1"/>
    <xf numFmtId="164" fontId="2" fillId="3" borderId="4" xfId="0" applyNumberFormat="1" applyFont="1" applyFill="1" applyBorder="1"/>
    <xf numFmtId="10" fontId="1" fillId="0" borderId="4" xfId="0" applyNumberFormat="1" applyFont="1" applyBorder="1" applyAlignment="1">
      <alignment horizontal="center"/>
    </xf>
    <xf numFmtId="4" fontId="2" fillId="3" borderId="4" xfId="0" applyNumberFormat="1" applyFont="1" applyFill="1" applyBorder="1" applyAlignment="1">
      <alignment horizontal="center"/>
    </xf>
    <xf numFmtId="166" fontId="1" fillId="0" borderId="0" xfId="0" applyNumberFormat="1" applyFont="1"/>
    <xf numFmtId="171" fontId="1" fillId="0" borderId="4" xfId="0" applyNumberFormat="1" applyFont="1" applyBorder="1" applyAlignment="1">
      <alignment horizontal="center"/>
    </xf>
    <xf numFmtId="166" fontId="2" fillId="0" borderId="4" xfId="0" applyNumberFormat="1" applyFont="1" applyBorder="1" applyAlignment="1">
      <alignment horizontal="center"/>
    </xf>
    <xf numFmtId="4" fontId="1" fillId="6" borderId="4" xfId="0" applyNumberFormat="1" applyFont="1" applyFill="1" applyBorder="1"/>
    <xf numFmtId="4" fontId="1" fillId="6" borderId="4" xfId="0" applyNumberFormat="1" applyFont="1" applyFill="1" applyBorder="1" applyAlignment="1">
      <alignment horizontal="center"/>
    </xf>
    <xf numFmtId="4" fontId="1" fillId="6" borderId="4" xfId="0" applyNumberFormat="1" applyFont="1" applyFill="1" applyBorder="1" applyAlignment="1">
      <alignment horizontal="right"/>
    </xf>
    <xf numFmtId="166" fontId="2" fillId="6" borderId="4" xfId="0" applyNumberFormat="1" applyFont="1" applyFill="1" applyBorder="1" applyAlignment="1">
      <alignment horizontal="center"/>
    </xf>
    <xf numFmtId="14" fontId="1" fillId="6" borderId="4" xfId="0" applyNumberFormat="1" applyFont="1" applyFill="1" applyBorder="1" applyAlignment="1">
      <alignment horizontal="center"/>
    </xf>
    <xf numFmtId="1" fontId="1" fillId="6" borderId="4" xfId="0" applyNumberFormat="1" applyFont="1" applyFill="1" applyBorder="1" applyAlignment="1">
      <alignment horizontal="center"/>
    </xf>
    <xf numFmtId="168" fontId="1" fillId="6" borderId="4" xfId="0" applyNumberFormat="1" applyFont="1" applyFill="1" applyBorder="1" applyAlignment="1">
      <alignment horizontal="center"/>
    </xf>
    <xf numFmtId="168" fontId="2" fillId="6" borderId="4" xfId="0" applyNumberFormat="1" applyFont="1" applyFill="1" applyBorder="1" applyAlignment="1">
      <alignment horizontal="center"/>
    </xf>
    <xf numFmtId="4" fontId="2" fillId="4" borderId="4" xfId="0" applyNumberFormat="1" applyFont="1" applyFill="1" applyBorder="1" applyAlignment="1">
      <alignment horizontal="center"/>
    </xf>
    <xf numFmtId="166" fontId="2" fillId="3" borderId="4" xfId="0" applyNumberFormat="1" applyFont="1" applyFill="1" applyBorder="1" applyAlignment="1">
      <alignment horizontal="center"/>
    </xf>
    <xf numFmtId="4" fontId="1" fillId="5" borderId="4" xfId="0" applyNumberFormat="1" applyFont="1" applyFill="1" applyBorder="1" applyAlignment="1">
      <alignment horizontal="center"/>
    </xf>
    <xf numFmtId="0" fontId="2" fillId="0" borderId="4" xfId="0" applyFont="1" applyBorder="1" applyAlignment="1">
      <alignment horizontal="center"/>
    </xf>
    <xf numFmtId="10" fontId="2" fillId="3" borderId="4" xfId="0" applyNumberFormat="1" applyFont="1" applyFill="1" applyBorder="1" applyAlignment="1">
      <alignment horizontal="center"/>
    </xf>
    <xf numFmtId="0" fontId="2" fillId="3" borderId="4" xfId="0" applyFont="1" applyFill="1" applyBorder="1" applyAlignment="1">
      <alignment horizontal="center"/>
    </xf>
    <xf numFmtId="2" fontId="1" fillId="0" borderId="4" xfId="0" applyNumberFormat="1" applyFont="1" applyBorder="1" applyAlignment="1">
      <alignment horizontal="center"/>
    </xf>
    <xf numFmtId="4" fontId="7" fillId="0" borderId="4" xfId="0" applyNumberFormat="1" applyFont="1" applyBorder="1" applyAlignment="1">
      <alignment horizontal="center"/>
    </xf>
    <xf numFmtId="4" fontId="24" fillId="0" borderId="4" xfId="0" applyNumberFormat="1" applyFont="1" applyBorder="1" applyAlignment="1">
      <alignment horizontal="center"/>
    </xf>
    <xf numFmtId="4" fontId="24" fillId="5" borderId="4" xfId="0" applyNumberFormat="1" applyFont="1" applyFill="1" applyBorder="1" applyAlignment="1">
      <alignment horizontal="center"/>
    </xf>
    <xf numFmtId="0" fontId="1" fillId="5" borderId="4" xfId="0" applyFont="1" applyFill="1" applyBorder="1"/>
    <xf numFmtId="0" fontId="1" fillId="3" borderId="0" xfId="0" applyFont="1" applyFill="1"/>
    <xf numFmtId="3" fontId="21" fillId="0" borderId="4" xfId="0" applyNumberFormat="1" applyFont="1" applyBorder="1" applyAlignment="1">
      <alignment horizontal="center"/>
    </xf>
    <xf numFmtId="10" fontId="2" fillId="3" borderId="4" xfId="1" applyNumberFormat="1" applyFont="1" applyFill="1" applyBorder="1" applyAlignment="1">
      <alignment horizontal="center"/>
    </xf>
    <xf numFmtId="1" fontId="2" fillId="3" borderId="4" xfId="0" applyNumberFormat="1" applyFont="1" applyFill="1" applyBorder="1"/>
    <xf numFmtId="9" fontId="2" fillId="3" borderId="4" xfId="1" applyFont="1" applyFill="1" applyBorder="1"/>
    <xf numFmtId="166" fontId="2" fillId="3" borderId="11" xfId="0" applyNumberFormat="1" applyFont="1" applyFill="1" applyBorder="1"/>
    <xf numFmtId="166" fontId="2" fillId="3" borderId="18" xfId="0" applyNumberFormat="1" applyFont="1" applyFill="1" applyBorder="1" applyAlignment="1">
      <alignment horizontal="center"/>
    </xf>
    <xf numFmtId="1" fontId="2" fillId="3" borderId="4" xfId="0" applyNumberFormat="1" applyFont="1" applyFill="1" applyBorder="1" applyAlignment="1">
      <alignment horizontal="center"/>
    </xf>
    <xf numFmtId="165" fontId="2" fillId="3" borderId="4" xfId="0" applyNumberFormat="1" applyFont="1" applyFill="1" applyBorder="1" applyAlignment="1">
      <alignment horizontal="center"/>
    </xf>
    <xf numFmtId="9" fontId="1" fillId="6" borderId="4" xfId="0" applyNumberFormat="1" applyFont="1" applyFill="1" applyBorder="1" applyAlignment="1">
      <alignment horizontal="center"/>
    </xf>
    <xf numFmtId="165" fontId="5" fillId="0" borderId="4" xfId="0" applyNumberFormat="1" applyFont="1" applyBorder="1"/>
    <xf numFmtId="4" fontId="5" fillId="3" borderId="4" xfId="0" applyNumberFormat="1" applyFont="1" applyFill="1" applyBorder="1"/>
    <xf numFmtId="4" fontId="1" fillId="0" borderId="4" xfId="0" applyNumberFormat="1" applyFont="1" applyBorder="1" applyAlignment="1">
      <alignment horizontal="center" vertical="center" wrapText="1"/>
    </xf>
    <xf numFmtId="4" fontId="24" fillId="0" borderId="0" xfId="0" applyNumberFormat="1" applyFont="1" applyAlignment="1">
      <alignment horizontal="right"/>
    </xf>
    <xf numFmtId="0" fontId="24" fillId="0" borderId="0" xfId="0" applyFont="1"/>
    <xf numFmtId="9" fontId="2" fillId="3" borderId="4" xfId="1" applyFont="1" applyFill="1" applyBorder="1" applyAlignment="1">
      <alignment horizontal="center"/>
    </xf>
    <xf numFmtId="9" fontId="7" fillId="0" borderId="4" xfId="1" applyFont="1" applyBorder="1"/>
    <xf numFmtId="4" fontId="7" fillId="4" borderId="4" xfId="0" applyNumberFormat="1" applyFont="1" applyFill="1" applyBorder="1" applyAlignment="1">
      <alignment horizontal="center"/>
    </xf>
    <xf numFmtId="3" fontId="7" fillId="4" borderId="4" xfId="0" applyNumberFormat="1" applyFont="1" applyFill="1" applyBorder="1" applyAlignment="1">
      <alignment horizontal="center"/>
    </xf>
    <xf numFmtId="4" fontId="1" fillId="0" borderId="1" xfId="0" applyNumberFormat="1" applyFont="1" applyBorder="1"/>
    <xf numFmtId="4" fontId="1" fillId="0" borderId="2" xfId="0" applyNumberFormat="1" applyFont="1" applyBorder="1" applyAlignment="1">
      <alignment horizontal="center"/>
    </xf>
    <xf numFmtId="4" fontId="1" fillId="0" borderId="3" xfId="0" applyNumberFormat="1" applyFont="1" applyBorder="1" applyAlignment="1">
      <alignment horizontal="center"/>
    </xf>
    <xf numFmtId="3" fontId="1" fillId="0" borderId="4" xfId="0" applyNumberFormat="1" applyFont="1" applyBorder="1" applyAlignment="1">
      <alignment horizontal="center" vertical="center"/>
    </xf>
    <xf numFmtId="4" fontId="12" fillId="6" borderId="4" xfId="0" applyNumberFormat="1" applyFont="1" applyFill="1" applyBorder="1" applyAlignment="1">
      <alignment horizontal="center"/>
    </xf>
    <xf numFmtId="165" fontId="1" fillId="0" borderId="4" xfId="1" applyNumberFormat="1" applyFont="1" applyBorder="1" applyAlignment="1">
      <alignment horizontal="center"/>
    </xf>
    <xf numFmtId="0" fontId="7" fillId="4" borderId="4" xfId="0" applyFont="1" applyFill="1" applyBorder="1" applyAlignment="1">
      <alignment horizontal="center"/>
    </xf>
    <xf numFmtId="4" fontId="2" fillId="4" borderId="0" xfId="0" applyNumberFormat="1" applyFont="1" applyFill="1"/>
    <xf numFmtId="4" fontId="14" fillId="4" borderId="0" xfId="0" applyNumberFormat="1" applyFont="1" applyFill="1"/>
    <xf numFmtId="4" fontId="1" fillId="4" borderId="0" xfId="0" applyNumberFormat="1" applyFont="1" applyFill="1"/>
    <xf numFmtId="0" fontId="2" fillId="0" borderId="4" xfId="0" applyFont="1" applyBorder="1"/>
    <xf numFmtId="4" fontId="1" fillId="0" borderId="28" xfId="0" applyNumberFormat="1" applyFont="1" applyBorder="1"/>
    <xf numFmtId="4" fontId="2" fillId="2" borderId="1" xfId="0" applyNumberFormat="1" applyFont="1" applyFill="1" applyBorder="1" applyAlignment="1">
      <alignment horizontal="left" vertical="center" wrapText="1"/>
    </xf>
    <xf numFmtId="4" fontId="2" fillId="2" borderId="2" xfId="0" applyNumberFormat="1" applyFont="1" applyFill="1" applyBorder="1" applyAlignment="1">
      <alignment horizontal="left" vertical="center" wrapText="1"/>
    </xf>
    <xf numFmtId="4" fontId="2" fillId="2" borderId="3" xfId="0" applyNumberFormat="1" applyFont="1" applyFill="1" applyBorder="1" applyAlignment="1">
      <alignment horizontal="left" vertical="center" wrapText="1"/>
    </xf>
    <xf numFmtId="4" fontId="2" fillId="2" borderId="1" xfId="0" applyNumberFormat="1" applyFont="1" applyFill="1" applyBorder="1" applyAlignment="1">
      <alignment vertical="center" wrapText="1"/>
    </xf>
    <xf numFmtId="4" fontId="2" fillId="2" borderId="2" xfId="0" applyNumberFormat="1" applyFont="1" applyFill="1" applyBorder="1" applyAlignment="1">
      <alignment vertical="center" wrapText="1"/>
    </xf>
    <xf numFmtId="4" fontId="2" fillId="2" borderId="3" xfId="0" applyNumberFormat="1" applyFont="1" applyFill="1" applyBorder="1" applyAlignment="1">
      <alignment vertical="center" wrapText="1"/>
    </xf>
    <xf numFmtId="4" fontId="3" fillId="3" borderId="0" xfId="0" applyNumberFormat="1" applyFont="1" applyFill="1" applyAlignment="1">
      <alignment horizontal="center"/>
    </xf>
    <xf numFmtId="4" fontId="25" fillId="2" borderId="1" xfId="0" applyNumberFormat="1" applyFont="1" applyFill="1" applyBorder="1" applyAlignment="1">
      <alignment horizontal="left" vertical="center" wrapText="1"/>
    </xf>
    <xf numFmtId="4" fontId="25" fillId="2" borderId="2" xfId="0" applyNumberFormat="1" applyFont="1" applyFill="1" applyBorder="1" applyAlignment="1">
      <alignment horizontal="left" vertical="center" wrapText="1"/>
    </xf>
    <xf numFmtId="4" fontId="25" fillId="2" borderId="3"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cellXfs>
  <cellStyles count="2">
    <cellStyle name="Обычный" xfId="0" builtinId="0"/>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66675</xdr:rowOff>
    </xdr:from>
    <xdr:to>
      <xdr:col>24</xdr:col>
      <xdr:colOff>296148</xdr:colOff>
      <xdr:row>40</xdr:row>
      <xdr:rowOff>142875</xdr:rowOff>
    </xdr:to>
    <xdr:pic>
      <xdr:nvPicPr>
        <xdr:cNvPr id="3" name="Рисунок 2">
          <a:extLst>
            <a:ext uri="{FF2B5EF4-FFF2-40B4-BE49-F238E27FC236}">
              <a16:creationId xmlns:a16="http://schemas.microsoft.com/office/drawing/2014/main" id="{27A17E7A-FEA6-4C5C-7F02-AD3C369C9A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 y="66675"/>
          <a:ext cx="14869399" cy="7696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608133</xdr:colOff>
      <xdr:row>0</xdr:row>
      <xdr:rowOff>98914</xdr:rowOff>
    </xdr:from>
    <xdr:to>
      <xdr:col>12</xdr:col>
      <xdr:colOff>539883</xdr:colOff>
      <xdr:row>2</xdr:row>
      <xdr:rowOff>102579</xdr:rowOff>
    </xdr:to>
    <xdr:sp macro="" textlink="">
      <xdr:nvSpPr>
        <xdr:cNvPr id="2" name="TextBox 1">
          <a:extLst>
            <a:ext uri="{FF2B5EF4-FFF2-40B4-BE49-F238E27FC236}">
              <a16:creationId xmlns:a16="http://schemas.microsoft.com/office/drawing/2014/main" id="{35A7575D-DB4E-44DB-A8F1-D9DCBD3BCB9A}"/>
            </a:ext>
          </a:extLst>
        </xdr:cNvPr>
        <xdr:cNvSpPr txBox="1"/>
      </xdr:nvSpPr>
      <xdr:spPr>
        <a:xfrm>
          <a:off x="89973" y="98914"/>
          <a:ext cx="10180650" cy="46086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ru-RU" sz="2400" b="1"/>
            <a:t>Быстрое форматирование</a:t>
          </a:r>
          <a:endParaRPr lang="ru-RU" sz="1400" b="0" baseline="0"/>
        </a:p>
        <a:p>
          <a:pPr algn="ctr"/>
          <a:r>
            <a:rPr lang="ru-RU" sz="1400" b="0" baseline="0"/>
            <a:t> </a:t>
          </a:r>
          <a:endParaRPr lang="ru-RU" sz="1400" b="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440347</xdr:colOff>
      <xdr:row>102</xdr:row>
      <xdr:rowOff>99645</xdr:rowOff>
    </xdr:from>
    <xdr:ext cx="3171826" cy="682816"/>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1A4D339F-0D60-40B8-B610-C5725E68C075}"/>
                </a:ext>
              </a:extLst>
            </xdr:cNvPr>
            <xdr:cNvSpPr txBox="1"/>
          </xdr:nvSpPr>
          <xdr:spPr>
            <a:xfrm>
              <a:off x="5276116" y="35649876"/>
              <a:ext cx="3171826" cy="682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ru-RU" sz="1800" b="0" i="1">
                            <a:latin typeface="Cambria Math" panose="02040503050406030204" pitchFamily="18" charset="0"/>
                          </a:rPr>
                        </m:ctrlPr>
                      </m:sSubPr>
                      <m:e>
                        <m:r>
                          <a:rPr lang="ru-RU" sz="1800" b="0" i="1">
                            <a:latin typeface="Cambria Math" panose="02040503050406030204" pitchFamily="18" charset="0"/>
                          </a:rPr>
                          <m:t>И</m:t>
                        </m:r>
                      </m:e>
                      <m:sub>
                        <m:r>
                          <a:rPr lang="ru-RU" sz="1800" b="0" i="1">
                            <a:latin typeface="Cambria Math" panose="02040503050406030204" pitchFamily="18" charset="0"/>
                          </a:rPr>
                          <m:t>функц</m:t>
                        </m:r>
                      </m:sub>
                    </m:sSub>
                    <m:r>
                      <a:rPr lang="ru-RU" sz="1800" b="0" i="1">
                        <a:latin typeface="Cambria Math" panose="02040503050406030204" pitchFamily="18" charset="0"/>
                      </a:rPr>
                      <m:t>=1−</m:t>
                    </m:r>
                    <m:f>
                      <m:fPr>
                        <m:ctrlPr>
                          <a:rPr lang="ru-RU" sz="1800" b="0" i="1">
                            <a:latin typeface="Cambria Math" panose="02040503050406030204" pitchFamily="18" charset="0"/>
                          </a:rPr>
                        </m:ctrlPr>
                      </m:fPr>
                      <m:num>
                        <m:sSub>
                          <m:sSubPr>
                            <m:ctrlPr>
                              <a:rPr lang="ru-RU" sz="1800" b="0" i="1">
                                <a:latin typeface="Cambria Math" panose="02040503050406030204" pitchFamily="18" charset="0"/>
                              </a:rPr>
                            </m:ctrlPr>
                          </m:sSubPr>
                          <m:e>
                            <m:r>
                              <a:rPr lang="ru-RU" sz="1800" b="0" i="1">
                                <a:latin typeface="Cambria Math" panose="02040503050406030204" pitchFamily="18" charset="0"/>
                              </a:rPr>
                              <m:t>Ц</m:t>
                            </m:r>
                          </m:e>
                          <m:sub>
                            <m:r>
                              <a:rPr lang="ru-RU" sz="1800" b="0" i="1">
                                <a:latin typeface="Cambria Math" panose="02040503050406030204" pitchFamily="18" charset="0"/>
                              </a:rPr>
                              <m:t>ОА</m:t>
                            </m:r>
                          </m:sub>
                        </m:sSub>
                      </m:num>
                      <m:den>
                        <m:sSub>
                          <m:sSubPr>
                            <m:ctrlPr>
                              <a:rPr lang="ru-RU" sz="1800" b="0" i="1">
                                <a:latin typeface="Cambria Math" panose="02040503050406030204" pitchFamily="18" charset="0"/>
                              </a:rPr>
                            </m:ctrlPr>
                          </m:sSubPr>
                          <m:e>
                            <m:r>
                              <a:rPr lang="ru-RU" sz="1800" b="0" i="1">
                                <a:latin typeface="Cambria Math" panose="02040503050406030204" pitchFamily="18" charset="0"/>
                              </a:rPr>
                              <m:t>Ц</m:t>
                            </m:r>
                          </m:e>
                          <m:sub>
                            <m:r>
                              <a:rPr lang="ru-RU" sz="1800" b="0" i="1">
                                <a:latin typeface="Cambria Math" panose="02040503050406030204" pitchFamily="18" charset="0"/>
                              </a:rPr>
                              <m:t>ОО</m:t>
                            </m:r>
                          </m:sub>
                        </m:sSub>
                      </m:den>
                    </m:f>
                    <m:r>
                      <a:rPr lang="ru-RU" sz="1800" b="0" i="1">
                        <a:latin typeface="Cambria Math" panose="02040503050406030204" pitchFamily="18" charset="0"/>
                      </a:rPr>
                      <m:t> </m:t>
                    </m:r>
                    <m:r>
                      <a:rPr lang="ru-RU" sz="1800" b="0" i="1">
                        <a:latin typeface="Cambria Math" panose="02040503050406030204" pitchFamily="18" charset="0"/>
                        <a:ea typeface="Cambria Math" panose="02040503050406030204" pitchFamily="18" charset="0"/>
                      </a:rPr>
                      <m:t>×</m:t>
                    </m:r>
                    <m:sSup>
                      <m:sSupPr>
                        <m:ctrlPr>
                          <a:rPr lang="ru-RU" sz="1800" b="0" i="1">
                            <a:latin typeface="Cambria Math" panose="02040503050406030204" pitchFamily="18" charset="0"/>
                            <a:ea typeface="Cambria Math" panose="02040503050406030204" pitchFamily="18" charset="0"/>
                          </a:rPr>
                        </m:ctrlPr>
                      </m:sSupPr>
                      <m:e>
                        <m:d>
                          <m:dPr>
                            <m:ctrlPr>
                              <a:rPr lang="ru-RU" sz="1800" b="0" i="1">
                                <a:latin typeface="Cambria Math" panose="02040503050406030204" pitchFamily="18" charset="0"/>
                                <a:ea typeface="Cambria Math" panose="02040503050406030204" pitchFamily="18" charset="0"/>
                              </a:rPr>
                            </m:ctrlPr>
                          </m:dPr>
                          <m:e>
                            <m:f>
                              <m:fPr>
                                <m:ctrlPr>
                                  <a:rPr lang="ru-RU" sz="1800" b="0" i="1">
                                    <a:latin typeface="Cambria Math" panose="02040503050406030204" pitchFamily="18" charset="0"/>
                                    <a:ea typeface="Cambria Math" panose="02040503050406030204" pitchFamily="18" charset="0"/>
                                  </a:rPr>
                                </m:ctrlPr>
                              </m:fPr>
                              <m:num>
                                <m:sSub>
                                  <m:sSubPr>
                                    <m:ctrlPr>
                                      <a:rPr lang="ru-RU" sz="1800" b="0" i="1">
                                        <a:latin typeface="Cambria Math" panose="02040503050406030204" pitchFamily="18" charset="0"/>
                                        <a:ea typeface="Cambria Math" panose="02040503050406030204" pitchFamily="18" charset="0"/>
                                      </a:rPr>
                                    </m:ctrlPr>
                                  </m:sSubPr>
                                  <m:e>
                                    <m:r>
                                      <a:rPr lang="ru-RU" sz="1800" b="0" i="1">
                                        <a:latin typeface="Cambria Math" panose="02040503050406030204" pitchFamily="18" charset="0"/>
                                        <a:ea typeface="Cambria Math" panose="02040503050406030204" pitchFamily="18" charset="0"/>
                                      </a:rPr>
                                      <m:t>Х</m:t>
                                    </m:r>
                                  </m:e>
                                  <m:sub>
                                    <m:r>
                                      <a:rPr lang="ru-RU" sz="1800" b="0" i="1">
                                        <a:latin typeface="Cambria Math" panose="02040503050406030204" pitchFamily="18" charset="0"/>
                                        <a:ea typeface="Cambria Math" panose="02040503050406030204" pitchFamily="18" charset="0"/>
                                      </a:rPr>
                                      <m:t>ОО</m:t>
                                    </m:r>
                                  </m:sub>
                                </m:sSub>
                              </m:num>
                              <m:den>
                                <m:sSub>
                                  <m:sSubPr>
                                    <m:ctrlPr>
                                      <a:rPr lang="ru-RU" sz="1800" b="0" i="1">
                                        <a:latin typeface="Cambria Math" panose="02040503050406030204" pitchFamily="18" charset="0"/>
                                        <a:ea typeface="Cambria Math" panose="02040503050406030204" pitchFamily="18" charset="0"/>
                                      </a:rPr>
                                    </m:ctrlPr>
                                  </m:sSubPr>
                                  <m:e>
                                    <m:r>
                                      <a:rPr lang="ru-RU" sz="1800" b="0" i="1">
                                        <a:latin typeface="Cambria Math" panose="02040503050406030204" pitchFamily="18" charset="0"/>
                                        <a:ea typeface="Cambria Math" panose="02040503050406030204" pitchFamily="18" charset="0"/>
                                      </a:rPr>
                                      <m:t>Х</m:t>
                                    </m:r>
                                  </m:e>
                                  <m:sub>
                                    <m:r>
                                      <a:rPr lang="ru-RU" sz="1800" b="0" i="1">
                                        <a:latin typeface="Cambria Math" panose="02040503050406030204" pitchFamily="18" charset="0"/>
                                        <a:ea typeface="Cambria Math" panose="02040503050406030204" pitchFamily="18" charset="0"/>
                                      </a:rPr>
                                      <m:t>ОА</m:t>
                                    </m:r>
                                  </m:sub>
                                </m:sSub>
                              </m:den>
                            </m:f>
                          </m:e>
                        </m:d>
                      </m:e>
                      <m:sup>
                        <m:r>
                          <a:rPr lang="en-US" sz="1800" b="0" i="1">
                            <a:latin typeface="Cambria Math" panose="02040503050406030204" pitchFamily="18" charset="0"/>
                            <a:ea typeface="Cambria Math" panose="02040503050406030204" pitchFamily="18" charset="0"/>
                          </a:rPr>
                          <m:t>𝑏</m:t>
                        </m:r>
                      </m:sup>
                    </m:sSup>
                  </m:oMath>
                </m:oMathPara>
              </a14:m>
              <a:endParaRPr lang="ru-RU" sz="1800" b="0"/>
            </a:p>
          </xdr:txBody>
        </xdr:sp>
      </mc:Choice>
      <mc:Fallback xmlns="">
        <xdr:sp macro="" textlink="">
          <xdr:nvSpPr>
            <xdr:cNvPr id="2" name="TextBox 1">
              <a:extLst>
                <a:ext uri="{FF2B5EF4-FFF2-40B4-BE49-F238E27FC236}">
                  <a16:creationId xmlns:a16="http://schemas.microsoft.com/office/drawing/2014/main" id="{1A4D339F-0D60-40B8-B610-C5725E68C075}"/>
                </a:ext>
              </a:extLst>
            </xdr:cNvPr>
            <xdr:cNvSpPr txBox="1"/>
          </xdr:nvSpPr>
          <xdr:spPr>
            <a:xfrm>
              <a:off x="5276116" y="35649876"/>
              <a:ext cx="3171826" cy="682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ru-RU" sz="1800" b="0" i="0">
                  <a:latin typeface="Cambria Math" panose="02040503050406030204" pitchFamily="18" charset="0"/>
                </a:rPr>
                <a:t>И_функц=1−Ц_ОА/Ц_ОО   </a:t>
              </a:r>
              <a:r>
                <a:rPr lang="ru-RU" sz="1800" b="0" i="0">
                  <a:latin typeface="Cambria Math" panose="02040503050406030204" pitchFamily="18" charset="0"/>
                  <a:ea typeface="Cambria Math" panose="02040503050406030204" pitchFamily="18" charset="0"/>
                </a:rPr>
                <a:t>×(Х_ОО/Х_ОА )^</a:t>
              </a:r>
              <a:r>
                <a:rPr lang="en-US" sz="1800" b="0" i="0">
                  <a:latin typeface="Cambria Math" panose="02040503050406030204" pitchFamily="18" charset="0"/>
                  <a:ea typeface="Cambria Math" panose="02040503050406030204" pitchFamily="18" charset="0"/>
                </a:rPr>
                <a:t>𝑏</a:t>
              </a:r>
              <a:endParaRPr lang="ru-RU" sz="1800" b="0"/>
            </a:p>
          </xdr:txBody>
        </xdr:sp>
      </mc:Fallback>
    </mc:AlternateContent>
    <xdr:clientData/>
  </xdr:oneCellAnchor>
  <xdr:oneCellAnchor>
    <xdr:from>
      <xdr:col>3</xdr:col>
      <xdr:colOff>519477</xdr:colOff>
      <xdr:row>106</xdr:row>
      <xdr:rowOff>208083</xdr:rowOff>
    </xdr:from>
    <xdr:ext cx="6492389" cy="544893"/>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4BB35FAB-F4D1-4750-89FE-F294484E60A5}"/>
                </a:ext>
              </a:extLst>
            </xdr:cNvPr>
            <xdr:cNvSpPr txBox="1"/>
          </xdr:nvSpPr>
          <xdr:spPr>
            <a:xfrm>
              <a:off x="5355246" y="28988237"/>
              <a:ext cx="6492389" cy="5448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ru-RU" sz="1600" b="0" i="1">
                            <a:latin typeface="Cambria Math" panose="02040503050406030204" pitchFamily="18" charset="0"/>
                          </a:rPr>
                        </m:ctrlPr>
                      </m:sSubPr>
                      <m:e>
                        <m:r>
                          <a:rPr lang="ru-RU" sz="1600" b="0" i="1">
                            <a:latin typeface="Cambria Math" panose="02040503050406030204" pitchFamily="18" charset="0"/>
                          </a:rPr>
                          <m:t>И</m:t>
                        </m:r>
                      </m:e>
                      <m:sub>
                        <m:r>
                          <a:rPr lang="ru-RU" sz="1600" b="0" i="1">
                            <a:latin typeface="Cambria Math" panose="02040503050406030204" pitchFamily="18" charset="0"/>
                          </a:rPr>
                          <m:t>внеш</m:t>
                        </m:r>
                      </m:sub>
                    </m:sSub>
                    <m:r>
                      <a:rPr lang="ru-RU" sz="1600" b="0" i="1">
                        <a:latin typeface="Cambria Math" panose="02040503050406030204" pitchFamily="18" charset="0"/>
                      </a:rPr>
                      <m:t>=1−</m:t>
                    </m:r>
                    <m:f>
                      <m:fPr>
                        <m:ctrlPr>
                          <a:rPr lang="ru-RU" sz="1600" b="0" i="1">
                            <a:latin typeface="Cambria Math" panose="02040503050406030204" pitchFamily="18" charset="0"/>
                          </a:rPr>
                        </m:ctrlPr>
                      </m:fPr>
                      <m:num>
                        <m:sSub>
                          <m:sSubPr>
                            <m:ctrlPr>
                              <a:rPr lang="ru-RU" sz="1600" b="0" i="1">
                                <a:latin typeface="Cambria Math" panose="02040503050406030204" pitchFamily="18" charset="0"/>
                              </a:rPr>
                            </m:ctrlPr>
                          </m:sSubPr>
                          <m:e>
                            <m:r>
                              <a:rPr lang="ru-RU" sz="1600" b="0" i="1">
                                <a:latin typeface="Cambria Math" panose="02040503050406030204" pitchFamily="18" charset="0"/>
                              </a:rPr>
                              <m:t>С</m:t>
                            </m:r>
                          </m:e>
                          <m:sub>
                            <m:r>
                              <a:rPr lang="ru-RU" sz="1600" b="0" i="1">
                                <a:latin typeface="Cambria Math" panose="02040503050406030204" pitchFamily="18" charset="0"/>
                              </a:rPr>
                              <m:t>специализированные операционные активы по доходному подходу</m:t>
                            </m:r>
                          </m:sub>
                        </m:sSub>
                      </m:num>
                      <m:den>
                        <m:sSub>
                          <m:sSubPr>
                            <m:ctrlPr>
                              <a:rPr lang="ru-RU" sz="1600" b="0" i="1">
                                <a:solidFill>
                                  <a:schemeClr val="tx1"/>
                                </a:solidFill>
                                <a:effectLst/>
                                <a:latin typeface="Cambria Math" panose="02040503050406030204" pitchFamily="18" charset="0"/>
                                <a:ea typeface="+mn-ea"/>
                                <a:cs typeface="+mn-cs"/>
                              </a:rPr>
                            </m:ctrlPr>
                          </m:sSubPr>
                          <m:e>
                            <m:r>
                              <a:rPr lang="ru-RU" sz="1600" b="0" i="1">
                                <a:solidFill>
                                  <a:schemeClr val="tx1"/>
                                </a:solidFill>
                                <a:effectLst/>
                                <a:latin typeface="Cambria Math" panose="02040503050406030204" pitchFamily="18" charset="0"/>
                                <a:ea typeface="+mn-ea"/>
                                <a:cs typeface="+mn-cs"/>
                              </a:rPr>
                              <m:t>С</m:t>
                            </m:r>
                          </m:e>
                          <m:sub>
                            <m:r>
                              <a:rPr lang="ru-RU" sz="1600" b="0" i="1">
                                <a:solidFill>
                                  <a:schemeClr val="tx1"/>
                                </a:solidFill>
                                <a:effectLst/>
                                <a:latin typeface="Cambria Math" panose="02040503050406030204" pitchFamily="18" charset="0"/>
                                <a:ea typeface="+mn-ea"/>
                                <a:cs typeface="+mn-cs"/>
                              </a:rPr>
                              <m:t>специализированные операционные активы по затратному подходу</m:t>
                            </m:r>
                          </m:sub>
                        </m:sSub>
                      </m:den>
                    </m:f>
                    <m:r>
                      <a:rPr lang="ru-RU" sz="1600" b="0" i="1">
                        <a:latin typeface="Cambria Math" panose="02040503050406030204" pitchFamily="18" charset="0"/>
                      </a:rPr>
                      <m:t> </m:t>
                    </m:r>
                  </m:oMath>
                </m:oMathPara>
              </a14:m>
              <a:endParaRPr lang="ru-RU" sz="1600" b="0"/>
            </a:p>
          </xdr:txBody>
        </xdr:sp>
      </mc:Choice>
      <mc:Fallback xmlns="">
        <xdr:sp macro="" textlink="">
          <xdr:nvSpPr>
            <xdr:cNvPr id="3" name="TextBox 2">
              <a:extLst>
                <a:ext uri="{FF2B5EF4-FFF2-40B4-BE49-F238E27FC236}">
                  <a16:creationId xmlns:a16="http://schemas.microsoft.com/office/drawing/2014/main" id="{4BB35FAB-F4D1-4750-89FE-F294484E60A5}"/>
                </a:ext>
              </a:extLst>
            </xdr:cNvPr>
            <xdr:cNvSpPr txBox="1"/>
          </xdr:nvSpPr>
          <xdr:spPr>
            <a:xfrm>
              <a:off x="5355246" y="28988237"/>
              <a:ext cx="6492389" cy="5448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ru-RU" sz="1600" b="0" i="0">
                  <a:latin typeface="Cambria Math" panose="02040503050406030204" pitchFamily="18" charset="0"/>
                </a:rPr>
                <a:t>И_внеш=1−С_(специализированные операционные активы по доходному подходу)/</a:t>
              </a:r>
              <a:r>
                <a:rPr lang="ru-RU" sz="1600" b="0" i="0">
                  <a:solidFill>
                    <a:schemeClr val="tx1"/>
                  </a:solidFill>
                  <a:effectLst/>
                  <a:latin typeface="Cambria Math" panose="02040503050406030204" pitchFamily="18" charset="0"/>
                  <a:ea typeface="+mn-ea"/>
                  <a:cs typeface="+mn-cs"/>
                </a:rPr>
                <a:t>С_(специализированные операционные активы по затратному подходу)  </a:t>
              </a:r>
              <a:r>
                <a:rPr lang="ru-RU" sz="1600" b="0" i="0">
                  <a:latin typeface="Cambria Math" panose="02040503050406030204" pitchFamily="18" charset="0"/>
                </a:rPr>
                <a:t> </a:t>
              </a:r>
              <a:endParaRPr lang="ru-RU" sz="1600" b="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xdr:from>
      <xdr:col>1</xdr:col>
      <xdr:colOff>1809750</xdr:colOff>
      <xdr:row>373</xdr:row>
      <xdr:rowOff>139213</xdr:rowOff>
    </xdr:from>
    <xdr:to>
      <xdr:col>6</xdr:col>
      <xdr:colOff>498231</xdr:colOff>
      <xdr:row>387</xdr:row>
      <xdr:rowOff>117233</xdr:rowOff>
    </xdr:to>
    <xdr:sp macro="" textlink="">
      <xdr:nvSpPr>
        <xdr:cNvPr id="2" name="Объект 2">
          <a:extLst>
            <a:ext uri="{FF2B5EF4-FFF2-40B4-BE49-F238E27FC236}">
              <a16:creationId xmlns:a16="http://schemas.microsoft.com/office/drawing/2014/main" id="{A18587C5-64BB-42A0-8D5E-622BD4A7B239}"/>
            </a:ext>
          </a:extLst>
        </xdr:cNvPr>
        <xdr:cNvSpPr>
          <a:spLocks noGrp="1"/>
        </xdr:cNvSpPr>
      </xdr:nvSpPr>
      <xdr:spPr>
        <a:xfrm>
          <a:off x="2227385" y="137980617"/>
          <a:ext cx="6535615" cy="3363058"/>
        </a:xfrm>
        <a:prstGeom prst="rect">
          <a:avLst/>
        </a:prstGeom>
        <a:ln w="12700" cap="rnd">
          <a:solidFill>
            <a:schemeClr val="accent1"/>
          </a:solidFill>
          <a:prstDash val="sysDot"/>
        </a:ln>
      </xdr:spPr>
      <xdr:txBody>
        <a:bodyPr vert="horz" wrap="square" lIns="91440" tIns="45720" rIns="91440" bIns="45720" rtlCol="0">
          <a:noAutofit/>
        </a:bodyPr>
        <a:lstStyle>
          <a:lvl1pPr marL="228600" indent="-228600" algn="l" defTabSz="914400" rtl="0" eaLnBrk="1" latinLnBrk="0" hangingPunct="1">
            <a:lnSpc>
              <a:spcPct val="90000"/>
            </a:lnSpc>
            <a:spcBef>
              <a:spcPts val="1000"/>
            </a:spcBef>
            <a:buFont typeface="Arial" panose="020B0604020202020204" pitchFamily="34" charset="0"/>
            <a:buChar char="•"/>
            <a:defRPr sz="2800" kern="1200">
              <a:solidFill>
                <a:schemeClr val="tx1"/>
              </a:solidFill>
              <a:latin typeface="+mn-lt"/>
              <a:ea typeface="+mn-ea"/>
              <a:cs typeface="+mn-cs"/>
            </a:defRPr>
          </a:lvl1pPr>
          <a:lvl2pPr marL="685800" indent="-228600" algn="l" defTabSz="914400" rtl="0" eaLnBrk="1" latinLnBrk="0" hangingPunct="1">
            <a:lnSpc>
              <a:spcPct val="90000"/>
            </a:lnSpc>
            <a:spcBef>
              <a:spcPts val="500"/>
            </a:spcBef>
            <a:buFont typeface="Arial" panose="020B0604020202020204" pitchFamily="34" charset="0"/>
            <a:buChar char="•"/>
            <a:defRPr sz="2400" kern="1200">
              <a:solidFill>
                <a:schemeClr val="tx1"/>
              </a:solidFill>
              <a:latin typeface="+mn-lt"/>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sz="2000" kern="1200">
              <a:solidFill>
                <a:schemeClr val="tx1"/>
              </a:solidFill>
              <a:latin typeface="+mn-lt"/>
              <a:ea typeface="+mn-ea"/>
              <a:cs typeface="+mn-cs"/>
            </a:defRPr>
          </a:lvl3pPr>
          <a:lvl4pPr marL="1600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4pPr>
          <a:lvl5pPr marL="20574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marL="0" indent="0" algn="ctr">
            <a:spcBef>
              <a:spcPts val="0"/>
            </a:spcBef>
            <a:buNone/>
          </a:pPr>
          <a:r>
            <a:rPr lang="ru-RU">
              <a:solidFill>
                <a:srgbClr val="0070C0"/>
              </a:solidFill>
              <a:latin typeface="Calibri" panose="020F0502020204030204" pitchFamily="34" charset="0"/>
            </a:rPr>
            <a:t>   </a:t>
          </a:r>
          <a:r>
            <a:rPr lang="ru-RU" sz="2000">
              <a:solidFill>
                <a:sysClr val="windowText" lastClr="000000"/>
              </a:solidFill>
              <a:latin typeface="Calibri" panose="020F0502020204030204" pitchFamily="34" charset="0"/>
            </a:rPr>
            <a:t>Решение уравнением (Т – токарный, С – сверлильный):</a:t>
          </a:r>
        </a:p>
        <a:p>
          <a:pPr marL="0" indent="0" algn="ctr">
            <a:spcBef>
              <a:spcPts val="0"/>
            </a:spcBef>
            <a:buNone/>
          </a:pPr>
          <a:r>
            <a:rPr lang="ru-RU" sz="2000" b="1">
              <a:solidFill>
                <a:sysClr val="windowText" lastClr="000000"/>
              </a:solidFill>
              <a:latin typeface="Calibri" panose="020F0502020204030204" pitchFamily="34" charset="0"/>
            </a:rPr>
            <a:t>5</a:t>
          </a:r>
          <a:r>
            <a:rPr lang="en-US" sz="2000" b="1">
              <a:solidFill>
                <a:sysClr val="windowText" lastClr="000000"/>
              </a:solidFill>
              <a:latin typeface="Calibri" panose="020F0502020204030204" pitchFamily="34" charset="0"/>
            </a:rPr>
            <a:t>T + 4C = 167</a:t>
          </a:r>
        </a:p>
        <a:p>
          <a:pPr marL="0" indent="0" algn="ctr">
            <a:spcBef>
              <a:spcPts val="0"/>
            </a:spcBef>
            <a:buNone/>
          </a:pPr>
          <a:r>
            <a:rPr lang="en-US" sz="2000" b="1">
              <a:solidFill>
                <a:sysClr val="windowText" lastClr="000000"/>
              </a:solidFill>
              <a:latin typeface="Calibri" panose="020F0502020204030204" pitchFamily="34" charset="0"/>
            </a:rPr>
            <a:t>3T + 6C = 183</a:t>
          </a:r>
          <a:endParaRPr lang="ru-RU" sz="2000" b="1">
            <a:solidFill>
              <a:sysClr val="windowText" lastClr="000000"/>
            </a:solidFill>
            <a:latin typeface="Calibri" panose="020F0502020204030204" pitchFamily="34" charset="0"/>
          </a:endParaRPr>
        </a:p>
        <a:p>
          <a:pPr marL="0" indent="0" algn="ctr">
            <a:spcBef>
              <a:spcPts val="0"/>
            </a:spcBef>
            <a:buNone/>
          </a:pPr>
          <a:r>
            <a:rPr lang="ru-RU" sz="2000">
              <a:solidFill>
                <a:sysClr val="windowText" lastClr="000000"/>
              </a:solidFill>
              <a:latin typeface="Calibri" panose="020F0502020204030204" pitchFamily="34" charset="0"/>
            </a:rPr>
            <a:t>   Из второго уравнения определяем Т через С</a:t>
          </a:r>
          <a:endParaRPr lang="en-US" sz="2000">
            <a:solidFill>
              <a:sysClr val="windowText" lastClr="000000"/>
            </a:solidFill>
            <a:latin typeface="Calibri" panose="020F0502020204030204" pitchFamily="34" charset="0"/>
          </a:endParaRPr>
        </a:p>
        <a:p>
          <a:pPr marL="0" indent="0" algn="ctr">
            <a:spcBef>
              <a:spcPts val="0"/>
            </a:spcBef>
            <a:buNone/>
          </a:pPr>
          <a:r>
            <a:rPr lang="en-US" sz="2000" b="1">
              <a:solidFill>
                <a:sysClr val="windowText" lastClr="000000"/>
              </a:solidFill>
              <a:latin typeface="Calibri" panose="020F0502020204030204" pitchFamily="34" charset="0"/>
            </a:rPr>
            <a:t>3T = 183 – 6C</a:t>
          </a:r>
        </a:p>
        <a:p>
          <a:pPr marL="0" indent="0" algn="ctr">
            <a:spcBef>
              <a:spcPts val="0"/>
            </a:spcBef>
            <a:buNone/>
          </a:pPr>
          <a:r>
            <a:rPr lang="ru-RU" sz="2000" b="1">
              <a:solidFill>
                <a:sysClr val="windowText" lastClr="000000"/>
              </a:solidFill>
              <a:latin typeface="Calibri" panose="020F0502020204030204" pitchFamily="34" charset="0"/>
            </a:rPr>
            <a:t>Т = (183 – 6С)/3</a:t>
          </a:r>
        </a:p>
        <a:p>
          <a:pPr marL="0" indent="0" algn="ctr">
            <a:spcBef>
              <a:spcPts val="0"/>
            </a:spcBef>
            <a:buNone/>
          </a:pPr>
          <a:r>
            <a:rPr lang="ru-RU" sz="2000" b="1">
              <a:solidFill>
                <a:sysClr val="windowText" lastClr="000000"/>
              </a:solidFill>
              <a:latin typeface="Calibri" panose="020F0502020204030204" pitchFamily="34" charset="0"/>
            </a:rPr>
            <a:t>5</a:t>
          </a:r>
          <a:r>
            <a:rPr lang="en-US" sz="2000" b="1">
              <a:solidFill>
                <a:sysClr val="windowText" lastClr="000000"/>
              </a:solidFill>
              <a:latin typeface="Calibri" panose="020F0502020204030204" pitchFamily="34" charset="0"/>
            </a:rPr>
            <a:t> </a:t>
          </a:r>
          <a:r>
            <a:rPr lang="ru-RU" sz="2000" b="1">
              <a:solidFill>
                <a:sysClr val="windowText" lastClr="000000"/>
              </a:solidFill>
            </a:rPr>
            <a:t>×</a:t>
          </a:r>
          <a:r>
            <a:rPr lang="en-US" sz="2000" b="1">
              <a:solidFill>
                <a:sysClr val="windowText" lastClr="000000"/>
              </a:solidFill>
            </a:rPr>
            <a:t> </a:t>
          </a:r>
          <a:r>
            <a:rPr lang="ru-RU" sz="2000" b="1">
              <a:solidFill>
                <a:sysClr val="windowText" lastClr="000000"/>
              </a:solidFill>
              <a:latin typeface="Calibri" panose="020F0502020204030204" pitchFamily="34" charset="0"/>
            </a:rPr>
            <a:t>(183 – 6С)/3 + 4С = 167</a:t>
          </a:r>
        </a:p>
        <a:p>
          <a:pPr marL="0" indent="0" algn="ctr">
            <a:spcBef>
              <a:spcPts val="0"/>
            </a:spcBef>
            <a:buNone/>
          </a:pPr>
          <a:r>
            <a:rPr lang="ru-RU" sz="2000" b="1">
              <a:solidFill>
                <a:sysClr val="windowText" lastClr="000000"/>
              </a:solidFill>
              <a:latin typeface="Calibri" panose="020F0502020204030204" pitchFamily="34" charset="0"/>
            </a:rPr>
            <a:t>305 – 10С + 4С = 167</a:t>
          </a:r>
        </a:p>
        <a:p>
          <a:pPr marL="0" indent="0" algn="ctr">
            <a:spcBef>
              <a:spcPts val="0"/>
            </a:spcBef>
            <a:buNone/>
          </a:pPr>
          <a:r>
            <a:rPr lang="ru-RU" sz="2000" b="1">
              <a:solidFill>
                <a:sysClr val="windowText" lastClr="000000"/>
              </a:solidFill>
              <a:latin typeface="Calibri" panose="020F0502020204030204" pitchFamily="34" charset="0"/>
            </a:rPr>
            <a:t>305 – 167 = 10С – 4С</a:t>
          </a:r>
        </a:p>
        <a:p>
          <a:pPr marL="0" indent="0" algn="ctr">
            <a:spcBef>
              <a:spcPts val="0"/>
            </a:spcBef>
            <a:buNone/>
          </a:pPr>
          <a:r>
            <a:rPr lang="ru-RU" sz="2000" b="1">
              <a:solidFill>
                <a:sysClr val="windowText" lastClr="000000"/>
              </a:solidFill>
              <a:latin typeface="Calibri" panose="020F0502020204030204" pitchFamily="34" charset="0"/>
            </a:rPr>
            <a:t>6С = 138</a:t>
          </a:r>
        </a:p>
        <a:p>
          <a:pPr marL="0" indent="0" algn="ctr">
            <a:spcBef>
              <a:spcPts val="0"/>
            </a:spcBef>
            <a:buNone/>
          </a:pPr>
          <a:r>
            <a:rPr lang="ru-RU" sz="2000" b="1">
              <a:solidFill>
                <a:sysClr val="windowText" lastClr="000000"/>
              </a:solidFill>
              <a:latin typeface="Calibri" panose="020F0502020204030204" pitchFamily="34" charset="0"/>
            </a:rPr>
            <a:t>С = 23</a:t>
          </a:r>
        </a:p>
        <a:p>
          <a:pPr marL="0" indent="0" algn="just">
            <a:spcBef>
              <a:spcPts val="0"/>
            </a:spcBef>
            <a:buNone/>
          </a:pPr>
          <a:endParaRPr lang="ru-RU">
            <a:solidFill>
              <a:srgbClr val="0070C0"/>
            </a:solidFill>
            <a:latin typeface="Calibri" panose="020F0502020204030204" pitchFamily="34" charset="0"/>
          </a:endParaRPr>
        </a:p>
        <a:p>
          <a:pPr marL="0" indent="0" algn="just">
            <a:spcBef>
              <a:spcPts val="0"/>
            </a:spcBef>
            <a:buNone/>
          </a:pPr>
          <a:endParaRPr lang="ru-RU">
            <a:solidFill>
              <a:srgbClr val="0070C0"/>
            </a:solidFill>
            <a:latin typeface="Calibri" panose="020F0502020204030204" pitchFamily="34"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48153-62A5-43D7-9870-89BA2ED8D331}">
  <dimension ref="A1"/>
  <sheetViews>
    <sheetView tabSelected="1" workbookViewId="0"/>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D24AD-5FDB-4CF4-B9FD-D628BF04F9B5}">
  <dimension ref="B5:I36"/>
  <sheetViews>
    <sheetView topLeftCell="A4" zoomScale="115" zoomScaleNormal="115" workbookViewId="0">
      <selection activeCell="G30" sqref="G30"/>
    </sheetView>
  </sheetViews>
  <sheetFormatPr defaultColWidth="9.140625" defaultRowHeight="18.75"/>
  <cols>
    <col min="1" max="1" width="1.28515625" style="105" customWidth="1"/>
    <col min="2" max="2" width="27.7109375" style="105" customWidth="1"/>
    <col min="3" max="7" width="18" style="105" customWidth="1"/>
    <col min="8" max="8" width="9.140625" style="105"/>
    <col min="9" max="13" width="4.28515625" style="105" customWidth="1"/>
    <col min="14" max="16384" width="9.140625" style="105"/>
  </cols>
  <sheetData>
    <row r="5" spans="2:9">
      <c r="B5" s="105" t="s">
        <v>924</v>
      </c>
      <c r="C5" s="110" t="s">
        <v>925</v>
      </c>
      <c r="E5" s="139"/>
      <c r="F5" s="139"/>
      <c r="G5" s="139"/>
      <c r="H5" s="139"/>
      <c r="I5" s="139"/>
    </row>
    <row r="6" spans="2:9">
      <c r="B6" s="105" t="s">
        <v>926</v>
      </c>
      <c r="C6" s="110" t="s">
        <v>927</v>
      </c>
    </row>
    <row r="7" spans="2:9">
      <c r="B7" s="105" t="s">
        <v>928</v>
      </c>
      <c r="C7" s="110" t="s">
        <v>929</v>
      </c>
    </row>
    <row r="8" spans="2:9">
      <c r="B8" s="105" t="s">
        <v>930</v>
      </c>
      <c r="C8" s="110" t="s">
        <v>931</v>
      </c>
    </row>
    <row r="9" spans="2:9">
      <c r="B9" s="105" t="s">
        <v>932</v>
      </c>
      <c r="C9" s="110" t="s">
        <v>933</v>
      </c>
    </row>
    <row r="10" spans="2:9">
      <c r="B10" s="105" t="s">
        <v>934</v>
      </c>
      <c r="C10" s="110" t="s">
        <v>935</v>
      </c>
    </row>
    <row r="11" spans="2:9">
      <c r="B11" s="105" t="s">
        <v>936</v>
      </c>
      <c r="C11" s="110" t="s">
        <v>937</v>
      </c>
    </row>
    <row r="12" spans="2:9">
      <c r="B12" s="105" t="s">
        <v>938</v>
      </c>
      <c r="C12" s="110" t="s">
        <v>939</v>
      </c>
    </row>
    <row r="13" spans="2:9">
      <c r="B13" s="105" t="s">
        <v>940</v>
      </c>
      <c r="C13" s="110" t="s">
        <v>941</v>
      </c>
      <c r="E13" s="110"/>
      <c r="F13" s="110"/>
      <c r="H13" s="110"/>
    </row>
    <row r="14" spans="2:9">
      <c r="B14" s="105" t="s">
        <v>942</v>
      </c>
      <c r="C14" s="110" t="s">
        <v>943</v>
      </c>
    </row>
    <row r="15" spans="2:9">
      <c r="B15" s="105" t="s">
        <v>944</v>
      </c>
      <c r="C15" s="110" t="s">
        <v>945</v>
      </c>
    </row>
    <row r="16" spans="2:9">
      <c r="D16" s="140"/>
    </row>
    <row r="17" spans="2:7">
      <c r="B17" s="105" t="s">
        <v>946</v>
      </c>
      <c r="C17" s="110" t="s">
        <v>947</v>
      </c>
      <c r="F17" s="139"/>
    </row>
    <row r="18" spans="2:7">
      <c r="B18" s="105" t="s">
        <v>948</v>
      </c>
      <c r="C18" s="110" t="s">
        <v>949</v>
      </c>
    </row>
    <row r="20" spans="2:7">
      <c r="C20" s="110" t="s">
        <v>950</v>
      </c>
    </row>
    <row r="21" spans="2:7">
      <c r="B21" s="1"/>
    </row>
    <row r="22" spans="2:7">
      <c r="C22" s="110" t="s">
        <v>951</v>
      </c>
    </row>
    <row r="23" spans="2:7">
      <c r="C23" s="110" t="s">
        <v>952</v>
      </c>
    </row>
    <row r="25" spans="2:7">
      <c r="C25" s="105" t="s">
        <v>953</v>
      </c>
    </row>
    <row r="26" spans="2:7">
      <c r="C26" s="105" t="s">
        <v>954</v>
      </c>
    </row>
    <row r="27" spans="2:7">
      <c r="C27" s="105" t="s">
        <v>955</v>
      </c>
    </row>
    <row r="29" spans="2:7">
      <c r="C29" s="108" t="s">
        <v>956</v>
      </c>
      <c r="D29" s="108" t="s">
        <v>957</v>
      </c>
      <c r="E29" s="108" t="s">
        <v>958</v>
      </c>
      <c r="F29" s="108" t="s">
        <v>959</v>
      </c>
      <c r="G29" s="108" t="s">
        <v>960</v>
      </c>
    </row>
    <row r="30" spans="2:7">
      <c r="C30" s="86">
        <v>40179</v>
      </c>
      <c r="D30" s="86">
        <v>43101</v>
      </c>
      <c r="E30" s="141">
        <f>DATEDIF(C30,D30,"m")</f>
        <v>96</v>
      </c>
      <c r="F30" s="141">
        <f>DATEDIF(C30,D30,"y")</f>
        <v>8</v>
      </c>
      <c r="G30" s="141">
        <f>DATEDIF(C30,D30,"d")</f>
        <v>2922</v>
      </c>
    </row>
    <row r="33" spans="3:7">
      <c r="C33" s="1"/>
      <c r="D33" s="1"/>
      <c r="E33" s="1"/>
      <c r="F33" s="1"/>
      <c r="G33" s="1"/>
    </row>
    <row r="34" spans="3:7">
      <c r="D34" s="1"/>
      <c r="E34" s="1"/>
      <c r="F34" s="1"/>
      <c r="G34" s="1"/>
    </row>
    <row r="35" spans="3:7">
      <c r="D35" s="1"/>
      <c r="E35" s="1"/>
      <c r="F35" s="1"/>
      <c r="G35" s="1"/>
    </row>
    <row r="36" spans="3:7">
      <c r="D36" s="1"/>
      <c r="E36" s="1"/>
      <c r="F36" s="1"/>
      <c r="G36" s="1"/>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45DBD-6D46-4195-9937-004EF8B842E4}">
  <dimension ref="B1:I3164"/>
  <sheetViews>
    <sheetView zoomScale="130" zoomScaleNormal="130" workbookViewId="0"/>
  </sheetViews>
  <sheetFormatPr defaultColWidth="9.140625" defaultRowHeight="18.75"/>
  <cols>
    <col min="1" max="1" width="2.7109375" style="1" customWidth="1"/>
    <col min="2" max="2" width="45.140625" style="1" bestFit="1" customWidth="1"/>
    <col min="3" max="3" width="21.140625" style="1" bestFit="1" customWidth="1"/>
    <col min="4" max="10" width="18.140625" style="1" customWidth="1"/>
    <col min="11" max="16384" width="9.140625" style="1"/>
  </cols>
  <sheetData>
    <row r="1" spans="2:9" ht="6.75" customHeight="1"/>
    <row r="2" spans="2:9" ht="33.75">
      <c r="B2" s="232" t="s">
        <v>1</v>
      </c>
      <c r="C2" s="232"/>
      <c r="D2" s="232"/>
      <c r="E2" s="232"/>
      <c r="F2" s="232"/>
      <c r="G2" s="232"/>
      <c r="H2" s="232"/>
      <c r="I2" s="232"/>
    </row>
    <row r="4" spans="2:9" ht="28.5">
      <c r="B4" s="137" t="s">
        <v>963</v>
      </c>
      <c r="C4"/>
    </row>
    <row r="5" spans="2:9" ht="29.25">
      <c r="B5" s="138" t="s">
        <v>961</v>
      </c>
      <c r="C5" s="138"/>
    </row>
    <row r="6" spans="2:9" ht="29.25">
      <c r="B6" s="138" t="s">
        <v>965</v>
      </c>
      <c r="C6" s="138"/>
    </row>
    <row r="7" spans="2:9" ht="29.25">
      <c r="B7" s="138" t="s">
        <v>964</v>
      </c>
      <c r="C7" s="138"/>
    </row>
    <row r="8" spans="2:9" ht="29.25">
      <c r="B8" s="138" t="s">
        <v>986</v>
      </c>
      <c r="C8" s="138"/>
    </row>
    <row r="9" spans="2:9" ht="29.25">
      <c r="B9" s="138" t="s">
        <v>962</v>
      </c>
      <c r="C9" s="138"/>
    </row>
    <row r="10" spans="2:9" ht="29.25">
      <c r="B10" s="138" t="s">
        <v>1002</v>
      </c>
      <c r="C10" s="138"/>
    </row>
    <row r="11" spans="2:9" ht="29.25">
      <c r="B11" s="138" t="s">
        <v>971</v>
      </c>
      <c r="C11" s="138"/>
    </row>
    <row r="12" spans="2:9">
      <c r="B12" s="128"/>
    </row>
    <row r="13" spans="2:9" ht="19.5" thickBot="1"/>
    <row r="14" spans="2:9" ht="77.25" customHeight="1" thickBot="1">
      <c r="B14" s="226" t="s">
        <v>1184</v>
      </c>
      <c r="C14" s="227"/>
      <c r="D14" s="227"/>
      <c r="E14" s="227"/>
      <c r="F14" s="227"/>
      <c r="G14" s="227"/>
      <c r="H14" s="227"/>
      <c r="I14" s="228"/>
    </row>
    <row r="17" spans="2:9">
      <c r="B17" s="3"/>
      <c r="C17" s="4" t="s">
        <v>4</v>
      </c>
      <c r="D17" s="4" t="s">
        <v>5</v>
      </c>
    </row>
    <row r="18" spans="2:9">
      <c r="B18" s="3" t="s">
        <v>10</v>
      </c>
      <c r="C18" s="3">
        <v>100000</v>
      </c>
      <c r="D18" s="3">
        <v>100000</v>
      </c>
    </row>
    <row r="19" spans="2:9">
      <c r="B19" s="3" t="s">
        <v>3</v>
      </c>
      <c r="C19" s="3">
        <v>30000</v>
      </c>
      <c r="D19" s="3">
        <v>25000</v>
      </c>
    </row>
    <row r="20" spans="2:9">
      <c r="B20" s="3" t="s">
        <v>6</v>
      </c>
      <c r="C20" s="5">
        <v>2</v>
      </c>
      <c r="D20" s="5">
        <v>2</v>
      </c>
    </row>
    <row r="21" spans="2:9">
      <c r="B21" s="6" t="s">
        <v>7</v>
      </c>
      <c r="C21" s="3"/>
      <c r="D21" s="3"/>
    </row>
    <row r="22" spans="2:9">
      <c r="B22" s="3" t="s">
        <v>8</v>
      </c>
      <c r="C22" s="3">
        <f>0.055*C20+0.003*C19/1000</f>
        <v>0.2</v>
      </c>
      <c r="D22" s="3">
        <f>0.055*D20+0.003*D19/1000</f>
        <v>0.185</v>
      </c>
    </row>
    <row r="23" spans="2:9">
      <c r="B23" s="3" t="s">
        <v>9</v>
      </c>
      <c r="C23" s="7">
        <f>1-EXP(-C22)</f>
        <v>0.18126924692201818</v>
      </c>
      <c r="D23" s="7">
        <f>1-EXP(-D22)</f>
        <v>0.16889571614787435</v>
      </c>
    </row>
    <row r="24" spans="2:9">
      <c r="B24" s="3" t="s">
        <v>11</v>
      </c>
      <c r="C24" s="3">
        <f>C18*C23</f>
        <v>18126.924692201817</v>
      </c>
      <c r="D24" s="3">
        <f>D18*D23</f>
        <v>16889.571614787434</v>
      </c>
    </row>
    <row r="25" spans="2:9">
      <c r="B25" s="3" t="s">
        <v>13</v>
      </c>
      <c r="C25" s="3">
        <f>C18-C24</f>
        <v>81873.075307798179</v>
      </c>
      <c r="D25" s="3">
        <f>D18-D24</f>
        <v>83110.428385212566</v>
      </c>
    </row>
    <row r="26" spans="2:9">
      <c r="B26" s="3" t="s">
        <v>12</v>
      </c>
      <c r="C26" s="3"/>
      <c r="D26" s="8">
        <f>C25-D25</f>
        <v>-1237.3530774143874</v>
      </c>
    </row>
    <row r="31" spans="2:9" ht="19.5" thickBot="1"/>
    <row r="32" spans="2:9" ht="58.5" customHeight="1" thickBot="1">
      <c r="B32" s="226" t="s">
        <v>914</v>
      </c>
      <c r="C32" s="227"/>
      <c r="D32" s="227"/>
      <c r="E32" s="227"/>
      <c r="F32" s="227"/>
      <c r="G32" s="227"/>
      <c r="H32" s="227"/>
      <c r="I32" s="228"/>
    </row>
    <row r="35" spans="2:9">
      <c r="B35" s="3" t="s">
        <v>14</v>
      </c>
      <c r="C35" s="3">
        <v>5000000</v>
      </c>
    </row>
    <row r="36" spans="2:9">
      <c r="B36" s="3" t="s">
        <v>15</v>
      </c>
      <c r="C36" s="9">
        <v>0.2</v>
      </c>
    </row>
    <row r="37" spans="2:9">
      <c r="B37" s="3" t="s">
        <v>16</v>
      </c>
      <c r="C37" s="9">
        <v>0.1</v>
      </c>
    </row>
    <row r="38" spans="2:9">
      <c r="B38" s="3" t="s">
        <v>17</v>
      </c>
      <c r="C38" s="9">
        <v>0.3</v>
      </c>
    </row>
    <row r="39" spans="2:9">
      <c r="B39" s="6" t="s">
        <v>7</v>
      </c>
      <c r="C39" s="3"/>
    </row>
    <row r="40" spans="2:9">
      <c r="B40" s="3" t="s">
        <v>11</v>
      </c>
      <c r="C40" s="7">
        <f>1-(1-C36)*(1-C37)*(1-C38)</f>
        <v>0.496</v>
      </c>
    </row>
    <row r="41" spans="2:9">
      <c r="B41" s="3" t="s">
        <v>18</v>
      </c>
      <c r="C41" s="8">
        <f>C35*C40</f>
        <v>2480000</v>
      </c>
    </row>
    <row r="46" spans="2:9" ht="19.5" thickBot="1"/>
    <row r="47" spans="2:9" ht="39.75" customHeight="1" thickBot="1">
      <c r="B47" s="226" t="s">
        <v>19</v>
      </c>
      <c r="C47" s="227"/>
      <c r="D47" s="227"/>
      <c r="E47" s="227"/>
      <c r="F47" s="227"/>
      <c r="G47" s="227"/>
      <c r="H47" s="227"/>
      <c r="I47" s="228"/>
    </row>
    <row r="50" spans="2:9">
      <c r="B50" s="3" t="s">
        <v>14</v>
      </c>
      <c r="C50" s="3">
        <v>400000</v>
      </c>
    </row>
    <row r="51" spans="2:9">
      <c r="B51" s="3" t="s">
        <v>20</v>
      </c>
      <c r="C51" s="3">
        <v>7</v>
      </c>
    </row>
    <row r="52" spans="2:9">
      <c r="B52" s="3" t="s">
        <v>21</v>
      </c>
      <c r="C52" s="3">
        <v>5</v>
      </c>
    </row>
    <row r="53" spans="2:9">
      <c r="B53" s="3" t="s">
        <v>16</v>
      </c>
      <c r="C53" s="9">
        <v>0.3</v>
      </c>
    </row>
    <row r="54" spans="2:9">
      <c r="B54" s="6" t="s">
        <v>7</v>
      </c>
      <c r="C54" s="3"/>
    </row>
    <row r="55" spans="2:9">
      <c r="B55" s="3" t="s">
        <v>22</v>
      </c>
      <c r="C55" s="3">
        <f>C51+C52</f>
        <v>12</v>
      </c>
    </row>
    <row r="56" spans="2:9">
      <c r="B56" s="3" t="s">
        <v>15</v>
      </c>
      <c r="C56" s="7">
        <f>C51/C55</f>
        <v>0.58333333333333337</v>
      </c>
    </row>
    <row r="57" spans="2:9">
      <c r="B57" s="3" t="s">
        <v>23</v>
      </c>
      <c r="C57" s="8">
        <f>C50*(1-C56)*(1-C53)</f>
        <v>116666.66666666666</v>
      </c>
    </row>
    <row r="62" spans="2:9" ht="19.5" thickBot="1"/>
    <row r="63" spans="2:9" ht="151.9" customHeight="1" thickBot="1">
      <c r="B63" s="226" t="s">
        <v>913</v>
      </c>
      <c r="C63" s="227"/>
      <c r="D63" s="227"/>
      <c r="E63" s="227"/>
      <c r="F63" s="227"/>
      <c r="G63" s="227"/>
      <c r="H63" s="227"/>
      <c r="I63" s="228"/>
    </row>
    <row r="66" spans="2:4">
      <c r="B66" s="3" t="s">
        <v>30</v>
      </c>
      <c r="C66" s="3">
        <v>25000000</v>
      </c>
    </row>
    <row r="67" spans="2:4">
      <c r="B67" s="3" t="s">
        <v>31</v>
      </c>
      <c r="C67" s="9">
        <v>0.1</v>
      </c>
    </row>
    <row r="68" spans="2:4">
      <c r="B68" s="3" t="s">
        <v>869</v>
      </c>
      <c r="C68" s="10">
        <f>C66*(1-C67)</f>
        <v>22500000</v>
      </c>
    </row>
    <row r="69" spans="2:4">
      <c r="C69" s="2"/>
    </row>
    <row r="70" spans="2:4">
      <c r="B70" s="3"/>
      <c r="C70" s="4" t="s">
        <v>4</v>
      </c>
      <c r="D70" s="4" t="s">
        <v>5</v>
      </c>
    </row>
    <row r="71" spans="2:4">
      <c r="B71" s="3" t="s">
        <v>24</v>
      </c>
      <c r="C71" s="3">
        <v>2500000</v>
      </c>
      <c r="D71" s="3">
        <v>2500000</v>
      </c>
    </row>
    <row r="72" spans="2:4">
      <c r="B72" s="3" t="s">
        <v>25</v>
      </c>
      <c r="C72" s="3">
        <v>14000</v>
      </c>
      <c r="D72" s="3">
        <v>9000</v>
      </c>
    </row>
    <row r="73" spans="2:4">
      <c r="B73" s="3" t="s">
        <v>26</v>
      </c>
      <c r="C73" s="3">
        <v>18000</v>
      </c>
      <c r="D73" s="3">
        <v>18000</v>
      </c>
    </row>
    <row r="74" spans="2:4">
      <c r="B74" s="3" t="s">
        <v>28</v>
      </c>
      <c r="C74" s="3">
        <v>4</v>
      </c>
      <c r="D74" s="3">
        <v>4</v>
      </c>
    </row>
    <row r="75" spans="2:4">
      <c r="B75" s="3" t="s">
        <v>27</v>
      </c>
      <c r="C75" s="10">
        <f>C71*C72/C73*C74</f>
        <v>7777777.777777778</v>
      </c>
      <c r="D75" s="10">
        <f>D71*D72/D73*D74</f>
        <v>5000000</v>
      </c>
    </row>
    <row r="76" spans="2:4">
      <c r="B76" s="3" t="s">
        <v>29</v>
      </c>
      <c r="C76" s="3"/>
      <c r="D76" s="10">
        <f>D75-C75</f>
        <v>-2777777.777777778</v>
      </c>
    </row>
    <row r="78" spans="2:4">
      <c r="B78" s="1" t="s">
        <v>23</v>
      </c>
      <c r="C78" s="11">
        <f>C68+D76</f>
        <v>19722222.222222224</v>
      </c>
    </row>
    <row r="83" spans="2:9" ht="19.5" thickBot="1"/>
    <row r="84" spans="2:9" ht="39.75" customHeight="1" thickBot="1">
      <c r="B84" s="226" t="s">
        <v>32</v>
      </c>
      <c r="C84" s="227"/>
      <c r="D84" s="227"/>
      <c r="E84" s="227"/>
      <c r="F84" s="227"/>
      <c r="G84" s="227"/>
      <c r="H84" s="227"/>
      <c r="I84" s="228"/>
    </row>
    <row r="87" spans="2:9">
      <c r="B87" s="3" t="s">
        <v>33</v>
      </c>
      <c r="C87" s="3">
        <v>12</v>
      </c>
    </row>
    <row r="88" spans="2:9">
      <c r="B88" s="3" t="s">
        <v>34</v>
      </c>
      <c r="C88" s="3">
        <v>15</v>
      </c>
    </row>
    <row r="89" spans="2:9">
      <c r="B89" s="3" t="s">
        <v>35</v>
      </c>
      <c r="C89" s="9">
        <v>0.3</v>
      </c>
    </row>
    <row r="90" spans="2:9">
      <c r="B90" s="6" t="s">
        <v>7</v>
      </c>
      <c r="C90" s="3"/>
    </row>
    <row r="91" spans="2:9">
      <c r="B91" s="3" t="s">
        <v>36</v>
      </c>
      <c r="C91" s="7">
        <f>100%/C88</f>
        <v>6.6666666666666666E-2</v>
      </c>
    </row>
    <row r="92" spans="2:9">
      <c r="B92" s="3" t="s">
        <v>37</v>
      </c>
      <c r="C92" s="9">
        <f>C91*3</f>
        <v>0.2</v>
      </c>
    </row>
    <row r="93" spans="2:9">
      <c r="B93" s="3" t="s">
        <v>15</v>
      </c>
      <c r="C93" s="12">
        <f>C89+C92</f>
        <v>0.5</v>
      </c>
    </row>
    <row r="98" spans="2:9" ht="19.5" thickBot="1"/>
    <row r="99" spans="2:9" ht="140.25" customHeight="1" thickBot="1">
      <c r="B99" s="226" t="s">
        <v>1116</v>
      </c>
      <c r="C99" s="227"/>
      <c r="D99" s="227"/>
      <c r="E99" s="227"/>
      <c r="F99" s="227"/>
      <c r="G99" s="227"/>
      <c r="H99" s="227"/>
      <c r="I99" s="228"/>
    </row>
    <row r="102" spans="2:9">
      <c r="B102" s="3" t="s">
        <v>14</v>
      </c>
      <c r="C102" s="3">
        <v>20000000</v>
      </c>
    </row>
    <row r="103" spans="2:9">
      <c r="B103" s="3" t="s">
        <v>34</v>
      </c>
      <c r="C103" s="3">
        <v>20</v>
      </c>
    </row>
    <row r="104" spans="2:9">
      <c r="B104" s="3" t="s">
        <v>38</v>
      </c>
      <c r="C104" s="3">
        <v>6</v>
      </c>
    </row>
    <row r="105" spans="2:9">
      <c r="B105" s="3" t="s">
        <v>20</v>
      </c>
      <c r="C105" s="3">
        <v>8</v>
      </c>
    </row>
    <row r="106" spans="2:9">
      <c r="B106" s="3" t="s">
        <v>39</v>
      </c>
      <c r="C106" s="3">
        <v>19000000</v>
      </c>
    </row>
    <row r="107" spans="2:9">
      <c r="B107" s="3" t="s">
        <v>40</v>
      </c>
      <c r="C107" s="9">
        <v>0.05</v>
      </c>
    </row>
    <row r="108" spans="2:9">
      <c r="B108" s="3" t="s">
        <v>41</v>
      </c>
      <c r="C108" s="3">
        <v>2000000000</v>
      </c>
    </row>
    <row r="109" spans="2:9">
      <c r="B109" s="3" t="s">
        <v>42</v>
      </c>
      <c r="C109" s="3">
        <v>2500000000</v>
      </c>
    </row>
    <row r="110" spans="2:9">
      <c r="B110" s="3" t="s">
        <v>43</v>
      </c>
      <c r="C110" s="3">
        <v>150000000</v>
      </c>
    </row>
    <row r="111" spans="2:9">
      <c r="B111" s="3" t="s">
        <v>44</v>
      </c>
      <c r="C111" s="3">
        <v>50000000</v>
      </c>
    </row>
    <row r="112" spans="2:9">
      <c r="B112" s="6" t="s">
        <v>7</v>
      </c>
      <c r="C112" s="3"/>
    </row>
    <row r="113" spans="2:9">
      <c r="B113" s="3" t="s">
        <v>15</v>
      </c>
      <c r="C113" s="13">
        <f>C105/C103</f>
        <v>0.4</v>
      </c>
      <c r="D113" s="1" t="s">
        <v>45</v>
      </c>
    </row>
    <row r="114" spans="2:9">
      <c r="B114" s="3" t="s">
        <v>48</v>
      </c>
      <c r="C114" s="14">
        <f>1-(C106/C102)*(1/(1+C107))</f>
        <v>9.5238095238095344E-2</v>
      </c>
      <c r="D114" s="1" t="s">
        <v>50</v>
      </c>
    </row>
    <row r="115" spans="2:9">
      <c r="B115" s="3" t="s">
        <v>46</v>
      </c>
      <c r="C115" s="3">
        <f>C108-C110</f>
        <v>1850000000</v>
      </c>
    </row>
    <row r="116" spans="2:9">
      <c r="B116" s="3" t="s">
        <v>47</v>
      </c>
      <c r="C116" s="14">
        <f>1-C115/C109</f>
        <v>0.26</v>
      </c>
    </row>
    <row r="117" spans="2:9">
      <c r="B117" s="3" t="s">
        <v>49</v>
      </c>
      <c r="C117" s="15">
        <f>C102*(1-C113)*(1-C114)*(1-C116)</f>
        <v>8034285.7142857136</v>
      </c>
    </row>
    <row r="122" spans="2:9" ht="19.5" thickBot="1"/>
    <row r="123" spans="2:9" ht="58.5" customHeight="1" thickBot="1">
      <c r="B123" s="226" t="s">
        <v>51</v>
      </c>
      <c r="C123" s="227"/>
      <c r="D123" s="227"/>
      <c r="E123" s="227"/>
      <c r="F123" s="227"/>
      <c r="G123" s="227"/>
      <c r="H123" s="227"/>
      <c r="I123" s="228"/>
    </row>
    <row r="126" spans="2:9">
      <c r="B126" s="3" t="s">
        <v>53</v>
      </c>
      <c r="C126" s="3">
        <v>1045000</v>
      </c>
    </row>
    <row r="127" spans="2:9">
      <c r="B127" s="3" t="s">
        <v>52</v>
      </c>
      <c r="C127" s="3">
        <v>3400000</v>
      </c>
    </row>
    <row r="128" spans="2:9">
      <c r="B128" s="3" t="s">
        <v>54</v>
      </c>
      <c r="C128" s="15">
        <f>C127/C126</f>
        <v>3.2535885167464116</v>
      </c>
    </row>
    <row r="129" spans="2:9">
      <c r="B129" s="3" t="s">
        <v>55</v>
      </c>
      <c r="C129" s="15">
        <f>C127*12/C126</f>
        <v>39.043062200956939</v>
      </c>
    </row>
    <row r="134" spans="2:9" ht="19.5" thickBot="1"/>
    <row r="135" spans="2:9" ht="91.9" customHeight="1" thickBot="1">
      <c r="B135" s="226" t="s">
        <v>56</v>
      </c>
      <c r="C135" s="227"/>
      <c r="D135" s="227"/>
      <c r="E135" s="227"/>
      <c r="F135" s="227"/>
      <c r="G135" s="227"/>
      <c r="H135" s="227"/>
      <c r="I135" s="228"/>
    </row>
    <row r="138" spans="2:9">
      <c r="B138" s="3" t="s">
        <v>57</v>
      </c>
      <c r="C138" s="3">
        <v>350000</v>
      </c>
    </row>
    <row r="139" spans="2:9">
      <c r="B139" s="3" t="s">
        <v>58</v>
      </c>
      <c r="C139" s="3">
        <v>1.54</v>
      </c>
    </row>
    <row r="140" spans="2:9">
      <c r="B140" s="3" t="s">
        <v>59</v>
      </c>
      <c r="C140" s="3">
        <v>2.12</v>
      </c>
    </row>
    <row r="141" spans="2:9">
      <c r="B141" s="3" t="s">
        <v>60</v>
      </c>
      <c r="C141" s="3">
        <v>70.180000000000007</v>
      </c>
    </row>
    <row r="142" spans="2:9">
      <c r="B142" s="6" t="s">
        <v>7</v>
      </c>
      <c r="C142" s="3"/>
    </row>
    <row r="143" spans="2:9">
      <c r="B143" s="3" t="s">
        <v>61</v>
      </c>
      <c r="C143" s="3">
        <f>C140/C139</f>
        <v>1.3766233766233766</v>
      </c>
    </row>
    <row r="144" spans="2:9">
      <c r="B144" s="3" t="s">
        <v>62</v>
      </c>
      <c r="C144" s="15">
        <f>C138*C143*C141</f>
        <v>33814000</v>
      </c>
    </row>
    <row r="149" spans="2:9" ht="19.5" thickBot="1"/>
    <row r="150" spans="2:9" ht="40.5" customHeight="1" thickBot="1">
      <c r="B150" s="226" t="s">
        <v>912</v>
      </c>
      <c r="C150" s="227"/>
      <c r="D150" s="227"/>
      <c r="E150" s="227"/>
      <c r="F150" s="227"/>
      <c r="G150" s="227"/>
      <c r="H150" s="227"/>
      <c r="I150" s="228"/>
    </row>
    <row r="153" spans="2:9">
      <c r="B153" s="3" t="s">
        <v>63</v>
      </c>
      <c r="C153" s="3">
        <v>140000</v>
      </c>
    </row>
    <row r="154" spans="2:9">
      <c r="B154" s="3" t="s">
        <v>64</v>
      </c>
      <c r="C154" s="9">
        <v>0.18</v>
      </c>
    </row>
    <row r="155" spans="2:9">
      <c r="B155" s="3" t="s">
        <v>65</v>
      </c>
      <c r="C155" s="9">
        <v>0.12</v>
      </c>
      <c r="D155" s="35" t="s">
        <v>76</v>
      </c>
    </row>
    <row r="156" spans="2:9">
      <c r="B156" s="6" t="s">
        <v>7</v>
      </c>
      <c r="C156" s="3"/>
      <c r="D156" s="35"/>
    </row>
    <row r="157" spans="2:9">
      <c r="B157" s="3" t="s">
        <v>66</v>
      </c>
      <c r="C157" s="8">
        <f>C153/(1+C154)</f>
        <v>118644.06779661018</v>
      </c>
      <c r="D157" s="35" t="s">
        <v>67</v>
      </c>
    </row>
    <row r="162" spans="2:9" ht="19.5" thickBot="1"/>
    <row r="163" spans="2:9" ht="77.45" customHeight="1" thickBot="1">
      <c r="B163" s="226" t="s">
        <v>68</v>
      </c>
      <c r="C163" s="227"/>
      <c r="D163" s="227"/>
      <c r="E163" s="227"/>
      <c r="F163" s="227"/>
      <c r="G163" s="227"/>
      <c r="H163" s="227"/>
      <c r="I163" s="228"/>
    </row>
    <row r="166" spans="2:9">
      <c r="B166" s="3" t="s">
        <v>69</v>
      </c>
      <c r="C166" s="3">
        <v>25000</v>
      </c>
    </row>
    <row r="167" spans="2:9">
      <c r="B167" s="3" t="s">
        <v>70</v>
      </c>
      <c r="C167" s="9">
        <v>0.1</v>
      </c>
    </row>
    <row r="168" spans="2:9">
      <c r="B168" s="3" t="s">
        <v>71</v>
      </c>
      <c r="C168" s="9">
        <v>0.05</v>
      </c>
      <c r="D168" s="35" t="s">
        <v>72</v>
      </c>
    </row>
    <row r="169" spans="2:9">
      <c r="B169" s="3" t="s">
        <v>73</v>
      </c>
      <c r="C169" s="3">
        <v>40</v>
      </c>
      <c r="D169" s="35" t="s">
        <v>76</v>
      </c>
    </row>
    <row r="170" spans="2:9">
      <c r="B170" s="3" t="s">
        <v>74</v>
      </c>
      <c r="C170" s="3">
        <v>60</v>
      </c>
    </row>
    <row r="171" spans="2:9">
      <c r="B171" s="3" t="s">
        <v>75</v>
      </c>
      <c r="C171" s="3">
        <v>1.03</v>
      </c>
    </row>
    <row r="172" spans="2:9">
      <c r="B172" s="3" t="s">
        <v>77</v>
      </c>
      <c r="C172" s="3">
        <v>200000</v>
      </c>
    </row>
    <row r="173" spans="2:9">
      <c r="B173" s="3" t="s">
        <v>23</v>
      </c>
      <c r="C173" s="8">
        <f>C166*(1+C167)*C171*C170+C172</f>
        <v>1899500.0000000002</v>
      </c>
    </row>
    <row r="178" spans="2:9" ht="19.5" thickBot="1"/>
    <row r="179" spans="2:9" ht="40.5" customHeight="1" thickBot="1">
      <c r="B179" s="226" t="s">
        <v>78</v>
      </c>
      <c r="C179" s="227"/>
      <c r="D179" s="227"/>
      <c r="E179" s="227"/>
      <c r="F179" s="227"/>
      <c r="G179" s="227"/>
      <c r="H179" s="227"/>
      <c r="I179" s="228"/>
    </row>
    <row r="182" spans="2:9">
      <c r="C182" s="4" t="s">
        <v>79</v>
      </c>
      <c r="D182" s="4" t="s">
        <v>80</v>
      </c>
      <c r="E182" s="4" t="s">
        <v>81</v>
      </c>
      <c r="F182" s="3" t="s">
        <v>82</v>
      </c>
    </row>
    <row r="183" spans="2:9">
      <c r="C183" s="19">
        <v>2000</v>
      </c>
      <c r="D183" s="4">
        <v>2000000</v>
      </c>
      <c r="E183" s="20">
        <f>D183/D186</f>
        <v>0.22222222222222221</v>
      </c>
      <c r="F183" s="21">
        <f>(C188-C183)/C189</f>
        <v>0.64</v>
      </c>
      <c r="G183" s="78" t="s">
        <v>84</v>
      </c>
    </row>
    <row r="184" spans="2:9">
      <c r="C184" s="19">
        <v>2005</v>
      </c>
      <c r="D184" s="4">
        <v>3000000</v>
      </c>
      <c r="E184" s="20">
        <f>D184/D186</f>
        <v>0.33333333333333331</v>
      </c>
      <c r="F184" s="21">
        <f>(C188-C184)/C189</f>
        <v>0.44</v>
      </c>
    </row>
    <row r="185" spans="2:9">
      <c r="C185" s="19">
        <v>2010</v>
      </c>
      <c r="D185" s="4">
        <v>4000000</v>
      </c>
      <c r="E185" s="20">
        <f>D185/D186</f>
        <v>0.44444444444444442</v>
      </c>
      <c r="F185" s="21">
        <f>(C188-C185)/C189</f>
        <v>0.24</v>
      </c>
    </row>
    <row r="186" spans="2:9">
      <c r="C186" s="19"/>
      <c r="D186" s="4">
        <f>SUM(D183:D185)</f>
        <v>9000000</v>
      </c>
      <c r="E186" s="4">
        <f>SUM(E183:E185)</f>
        <v>1</v>
      </c>
      <c r="F186" s="197">
        <f>E183*F183+E184*F184+E185*F185</f>
        <v>0.39555555555555555</v>
      </c>
    </row>
    <row r="188" spans="2:9">
      <c r="B188" s="3" t="s">
        <v>83</v>
      </c>
      <c r="C188" s="18">
        <v>2016</v>
      </c>
    </row>
    <row r="189" spans="2:9">
      <c r="B189" s="3" t="s">
        <v>6</v>
      </c>
      <c r="C189" s="18">
        <v>25</v>
      </c>
    </row>
    <row r="194" spans="2:9" ht="19.5" thickBot="1"/>
    <row r="195" spans="2:9" ht="39.75" customHeight="1" thickBot="1">
      <c r="B195" s="226" t="s">
        <v>85</v>
      </c>
      <c r="C195" s="227"/>
      <c r="D195" s="227"/>
      <c r="E195" s="227"/>
      <c r="F195" s="227"/>
      <c r="G195" s="227"/>
      <c r="H195" s="227"/>
      <c r="I195" s="228"/>
    </row>
    <row r="198" spans="2:9">
      <c r="B198" s="3" t="s">
        <v>86</v>
      </c>
      <c r="C198" s="5">
        <v>1</v>
      </c>
      <c r="D198" s="5">
        <v>2</v>
      </c>
      <c r="E198" s="5">
        <v>3</v>
      </c>
    </row>
    <row r="199" spans="2:9">
      <c r="B199" s="3" t="s">
        <v>87</v>
      </c>
      <c r="C199" s="4">
        <v>40000</v>
      </c>
      <c r="D199" s="4">
        <v>40000</v>
      </c>
      <c r="E199" s="4">
        <v>40000</v>
      </c>
    </row>
    <row r="200" spans="2:9">
      <c r="B200" s="3" t="s">
        <v>88</v>
      </c>
      <c r="C200" s="22">
        <v>0.2</v>
      </c>
      <c r="D200" s="22">
        <v>0.2</v>
      </c>
      <c r="E200" s="22">
        <v>0.2</v>
      </c>
    </row>
    <row r="201" spans="2:9">
      <c r="B201" s="3"/>
      <c r="C201" s="4">
        <f>C199/(1+C200)^(C198-0.5)</f>
        <v>36514.837167011079</v>
      </c>
      <c r="D201" s="4">
        <f>D199/(1+D200)^(D198-0.5)</f>
        <v>30429.030972509227</v>
      </c>
      <c r="E201" s="4">
        <f>E199/(1+E200)^(E198-0.5)</f>
        <v>25357.525810424358</v>
      </c>
      <c r="F201" s="11">
        <f>SUM(C201:E201)</f>
        <v>92301.393949944657</v>
      </c>
    </row>
    <row r="206" spans="2:9" ht="19.5" thickBot="1"/>
    <row r="207" spans="2:9" ht="96.75" customHeight="1" thickBot="1">
      <c r="B207" s="226" t="s">
        <v>911</v>
      </c>
      <c r="C207" s="227"/>
      <c r="D207" s="227"/>
      <c r="E207" s="227"/>
      <c r="F207" s="227"/>
      <c r="G207" s="227"/>
      <c r="H207" s="227"/>
      <c r="I207" s="228"/>
    </row>
    <row r="210" spans="2:9">
      <c r="B210" s="3" t="s">
        <v>89</v>
      </c>
      <c r="C210" s="3">
        <v>2000000</v>
      </c>
    </row>
    <row r="211" spans="2:9">
      <c r="B211" s="3" t="s">
        <v>90</v>
      </c>
      <c r="C211" s="9">
        <v>0.85</v>
      </c>
      <c r="D211" s="24" t="s">
        <v>92</v>
      </c>
    </row>
    <row r="212" spans="2:9">
      <c r="B212" s="3" t="s">
        <v>15</v>
      </c>
      <c r="C212" s="9">
        <v>0.3</v>
      </c>
    </row>
    <row r="213" spans="2:9">
      <c r="B213" s="3" t="s">
        <v>91</v>
      </c>
      <c r="C213" s="3">
        <v>200000</v>
      </c>
    </row>
    <row r="214" spans="2:9">
      <c r="B214" s="6" t="s">
        <v>7</v>
      </c>
      <c r="C214" s="3"/>
    </row>
    <row r="215" spans="2:9">
      <c r="B215" s="3" t="s">
        <v>13</v>
      </c>
      <c r="C215" s="15">
        <f>C210*(1-C212)*C211</f>
        <v>1190000</v>
      </c>
    </row>
    <row r="220" spans="2:9" ht="19.5" thickBot="1"/>
    <row r="221" spans="2:9" ht="61.15" customHeight="1" thickBot="1">
      <c r="B221" s="226" t="s">
        <v>93</v>
      </c>
      <c r="C221" s="227"/>
      <c r="D221" s="227"/>
      <c r="E221" s="227"/>
      <c r="F221" s="227"/>
      <c r="G221" s="227"/>
      <c r="H221" s="227"/>
      <c r="I221" s="228"/>
    </row>
    <row r="224" spans="2:9">
      <c r="B224" s="3" t="s">
        <v>95</v>
      </c>
      <c r="C224" s="3" t="s">
        <v>99</v>
      </c>
    </row>
    <row r="225" spans="2:4">
      <c r="B225" s="3" t="s">
        <v>94</v>
      </c>
      <c r="C225" s="3" t="s">
        <v>100</v>
      </c>
    </row>
    <row r="226" spans="2:4">
      <c r="B226" s="3" t="s">
        <v>96</v>
      </c>
      <c r="C226" s="3" t="s">
        <v>101</v>
      </c>
    </row>
    <row r="227" spans="2:4">
      <c r="B227" s="3" t="s">
        <v>97</v>
      </c>
      <c r="C227" s="18">
        <v>2016</v>
      </c>
    </row>
    <row r="228" spans="2:4">
      <c r="B228" s="3" t="s">
        <v>102</v>
      </c>
      <c r="C228" s="3">
        <v>450000</v>
      </c>
    </row>
    <row r="229" spans="2:4">
      <c r="B229" s="3" t="s">
        <v>103</v>
      </c>
      <c r="C229" s="3">
        <v>158000</v>
      </c>
    </row>
    <row r="230" spans="2:4">
      <c r="B230" s="3" t="s">
        <v>104</v>
      </c>
      <c r="C230" s="3">
        <v>84000</v>
      </c>
    </row>
    <row r="231" spans="2:4">
      <c r="B231" s="3" t="s">
        <v>105</v>
      </c>
      <c r="C231" s="3">
        <v>48000</v>
      </c>
      <c r="D231" s="35" t="s">
        <v>110</v>
      </c>
    </row>
    <row r="232" spans="2:4">
      <c r="B232" s="3" t="s">
        <v>106</v>
      </c>
      <c r="C232" s="3">
        <v>3000</v>
      </c>
    </row>
    <row r="233" spans="2:4">
      <c r="B233" s="3" t="s">
        <v>107</v>
      </c>
      <c r="C233" s="3">
        <v>120000</v>
      </c>
    </row>
    <row r="234" spans="2:4">
      <c r="B234" s="3" t="s">
        <v>108</v>
      </c>
      <c r="C234" s="3">
        <v>26000</v>
      </c>
      <c r="D234" s="35" t="s">
        <v>111</v>
      </c>
    </row>
    <row r="235" spans="2:4">
      <c r="B235" s="6" t="s">
        <v>7</v>
      </c>
      <c r="C235" s="3"/>
    </row>
    <row r="236" spans="2:4">
      <c r="B236" s="3" t="s">
        <v>109</v>
      </c>
      <c r="C236" s="3">
        <f>C228*2</f>
        <v>900000</v>
      </c>
    </row>
    <row r="237" spans="2:4">
      <c r="B237" s="3" t="s">
        <v>13</v>
      </c>
      <c r="C237" s="15">
        <f>C236+C229+C230+C232+C233</f>
        <v>1265000</v>
      </c>
    </row>
    <row r="242" spans="2:9" ht="19.5" thickBot="1"/>
    <row r="243" spans="2:9" ht="97.15" customHeight="1" thickBot="1">
      <c r="B243" s="226" t="s">
        <v>112</v>
      </c>
      <c r="C243" s="227"/>
      <c r="D243" s="227"/>
      <c r="E243" s="227"/>
      <c r="F243" s="227"/>
      <c r="G243" s="227"/>
      <c r="H243" s="227"/>
      <c r="I243" s="228"/>
    </row>
    <row r="246" spans="2:9">
      <c r="B246" s="3" t="s">
        <v>113</v>
      </c>
      <c r="C246" s="18">
        <v>2007</v>
      </c>
    </row>
    <row r="247" spans="2:9">
      <c r="B247" s="3" t="s">
        <v>114</v>
      </c>
      <c r="C247" s="3">
        <v>250000</v>
      </c>
    </row>
    <row r="248" spans="2:9">
      <c r="B248" s="3" t="s">
        <v>83</v>
      </c>
      <c r="C248" s="18">
        <v>2017</v>
      </c>
    </row>
    <row r="249" spans="2:9">
      <c r="B249" s="3" t="s">
        <v>115</v>
      </c>
      <c r="C249" s="18">
        <v>25</v>
      </c>
    </row>
    <row r="250" spans="2:9">
      <c r="B250" s="3" t="s">
        <v>116</v>
      </c>
      <c r="C250" s="3">
        <v>100</v>
      </c>
    </row>
    <row r="251" spans="2:9">
      <c r="B251" s="3" t="s">
        <v>117</v>
      </c>
      <c r="C251" s="3">
        <v>80</v>
      </c>
    </row>
    <row r="252" spans="2:9">
      <c r="B252" s="3" t="s">
        <v>118</v>
      </c>
      <c r="C252" s="25">
        <v>0.70640000000000003</v>
      </c>
    </row>
    <row r="253" spans="2:9">
      <c r="B253" s="3" t="s">
        <v>119</v>
      </c>
      <c r="C253" s="9">
        <v>0.6</v>
      </c>
      <c r="D253" s="24" t="s">
        <v>120</v>
      </c>
    </row>
    <row r="254" spans="2:9">
      <c r="B254" s="6" t="s">
        <v>7</v>
      </c>
      <c r="C254" s="3"/>
    </row>
    <row r="255" spans="2:9">
      <c r="B255" s="3" t="s">
        <v>870</v>
      </c>
      <c r="C255" s="3">
        <f>C247*(1+C253)</f>
        <v>400000</v>
      </c>
    </row>
    <row r="256" spans="2:9">
      <c r="B256" s="3" t="s">
        <v>15</v>
      </c>
      <c r="C256" s="9">
        <f>(C248-C246)/C249</f>
        <v>0.4</v>
      </c>
      <c r="D256" s="24" t="s">
        <v>121</v>
      </c>
    </row>
    <row r="257" spans="2:9">
      <c r="B257" s="3" t="s">
        <v>16</v>
      </c>
      <c r="C257" s="7">
        <f>1-(C251/C250)^C252</f>
        <v>0.14583304329652902</v>
      </c>
      <c r="D257" s="24" t="s">
        <v>915</v>
      </c>
      <c r="E257" s="24" t="s">
        <v>123</v>
      </c>
    </row>
    <row r="258" spans="2:9">
      <c r="B258" s="3" t="s">
        <v>13</v>
      </c>
      <c r="C258" s="15">
        <f>C255*(1-C256)*(1-C257)</f>
        <v>205000.06960883303</v>
      </c>
    </row>
    <row r="263" spans="2:9" ht="19.5" thickBot="1"/>
    <row r="264" spans="2:9" ht="40.5" customHeight="1" thickBot="1">
      <c r="B264" s="226" t="s">
        <v>124</v>
      </c>
      <c r="C264" s="227"/>
      <c r="D264" s="227"/>
      <c r="E264" s="227"/>
      <c r="F264" s="227"/>
      <c r="G264" s="227"/>
      <c r="H264" s="227"/>
      <c r="I264" s="228"/>
    </row>
    <row r="267" spans="2:9">
      <c r="B267" s="3" t="s">
        <v>125</v>
      </c>
      <c r="C267" s="3">
        <v>10000000</v>
      </c>
    </row>
    <row r="268" spans="2:9">
      <c r="B268" s="3" t="s">
        <v>15</v>
      </c>
      <c r="C268" s="9">
        <v>0.9</v>
      </c>
    </row>
    <row r="269" spans="2:9">
      <c r="B269" s="3" t="s">
        <v>126</v>
      </c>
      <c r="C269" s="9">
        <v>0.95</v>
      </c>
    </row>
    <row r="270" spans="2:9">
      <c r="B270" s="3" t="s">
        <v>127</v>
      </c>
      <c r="C270" s="3">
        <v>20</v>
      </c>
    </row>
    <row r="271" spans="2:9">
      <c r="B271" s="3" t="s">
        <v>128</v>
      </c>
      <c r="C271" s="3">
        <v>9000</v>
      </c>
    </row>
    <row r="272" spans="2:9">
      <c r="B272" s="6" t="s">
        <v>7</v>
      </c>
      <c r="C272" s="3"/>
    </row>
    <row r="273" spans="2:9">
      <c r="B273" s="3" t="s">
        <v>129</v>
      </c>
      <c r="C273" s="3">
        <f>C267*(1-C268)*(1-C269)</f>
        <v>50000.000000000036</v>
      </c>
    </row>
    <row r="274" spans="2:9">
      <c r="B274" s="3" t="s">
        <v>130</v>
      </c>
      <c r="C274" s="15">
        <f>C270*C271</f>
        <v>180000</v>
      </c>
      <c r="D274" s="35" t="s">
        <v>131</v>
      </c>
    </row>
    <row r="281" spans="2:9" ht="19.5" thickBot="1"/>
    <row r="282" spans="2:9" ht="78" customHeight="1" thickBot="1">
      <c r="B282" s="226" t="s">
        <v>1191</v>
      </c>
      <c r="C282" s="227"/>
      <c r="D282" s="227"/>
      <c r="E282" s="227"/>
      <c r="F282" s="227"/>
      <c r="G282" s="227"/>
      <c r="H282" s="227"/>
      <c r="I282" s="228"/>
    </row>
    <row r="285" spans="2:9">
      <c r="B285" s="3" t="s">
        <v>132</v>
      </c>
      <c r="C285" s="3">
        <v>20000</v>
      </c>
    </row>
    <row r="286" spans="2:9">
      <c r="B286" s="3" t="s">
        <v>133</v>
      </c>
      <c r="C286" s="3">
        <v>3</v>
      </c>
    </row>
    <row r="287" spans="2:9">
      <c r="B287" s="3" t="s">
        <v>88</v>
      </c>
      <c r="C287" s="9">
        <v>0.2</v>
      </c>
    </row>
    <row r="289" spans="2:9">
      <c r="B289" s="3" t="s">
        <v>86</v>
      </c>
      <c r="C289" s="5">
        <v>1</v>
      </c>
      <c r="D289" s="5">
        <v>2</v>
      </c>
      <c r="E289" s="5">
        <v>3</v>
      </c>
    </row>
    <row r="290" spans="2:9">
      <c r="B290" s="3" t="s">
        <v>135</v>
      </c>
      <c r="C290" s="3">
        <f>C285*12</f>
        <v>240000</v>
      </c>
      <c r="D290" s="3">
        <f>C290</f>
        <v>240000</v>
      </c>
      <c r="E290" s="3">
        <f>D290</f>
        <v>240000</v>
      </c>
    </row>
    <row r="291" spans="2:9">
      <c r="B291" s="3" t="s">
        <v>88</v>
      </c>
      <c r="C291" s="22">
        <v>0.2</v>
      </c>
      <c r="D291" s="22">
        <v>0.2</v>
      </c>
      <c r="E291" s="22">
        <v>0.2</v>
      </c>
    </row>
    <row r="292" spans="2:9">
      <c r="B292" s="3" t="s">
        <v>134</v>
      </c>
      <c r="C292" s="3">
        <f>C290/(1+C291)^(C289-0.5)</f>
        <v>219089.02300206647</v>
      </c>
      <c r="D292" s="3">
        <f>D290/(1+D291)^(D289-0.5)</f>
        <v>182574.18583505537</v>
      </c>
      <c r="E292" s="3">
        <f>E290/(1+E291)^(E289-0.5)</f>
        <v>152145.15486254616</v>
      </c>
      <c r="F292" s="11">
        <f>SUM(C292:E292)</f>
        <v>553808.36369966797</v>
      </c>
    </row>
    <row r="299" spans="2:9" ht="19.5" thickBot="1"/>
    <row r="300" spans="2:9" ht="39" customHeight="1" thickBot="1">
      <c r="B300" s="226" t="s">
        <v>136</v>
      </c>
      <c r="C300" s="227"/>
      <c r="D300" s="227"/>
      <c r="E300" s="227"/>
      <c r="F300" s="227"/>
      <c r="G300" s="227"/>
      <c r="H300" s="227"/>
      <c r="I300" s="228"/>
    </row>
    <row r="303" spans="2:9">
      <c r="B303" s="1" t="s">
        <v>137</v>
      </c>
    </row>
    <row r="304" spans="2:9">
      <c r="B304" s="1" t="s">
        <v>138</v>
      </c>
    </row>
    <row r="305" spans="2:9">
      <c r="B305" s="1" t="s">
        <v>139</v>
      </c>
    </row>
    <row r="312" spans="2:9" ht="19.5" thickBot="1"/>
    <row r="313" spans="2:9" ht="58.5" customHeight="1" thickBot="1">
      <c r="B313" s="226" t="s">
        <v>140</v>
      </c>
      <c r="C313" s="227"/>
      <c r="D313" s="227"/>
      <c r="E313" s="227"/>
      <c r="F313" s="227"/>
      <c r="G313" s="227"/>
      <c r="H313" s="227"/>
      <c r="I313" s="228"/>
    </row>
    <row r="316" spans="2:9">
      <c r="B316" s="3" t="s">
        <v>141</v>
      </c>
      <c r="C316" s="3">
        <v>100</v>
      </c>
    </row>
    <row r="317" spans="2:9">
      <c r="B317" s="3" t="s">
        <v>133</v>
      </c>
      <c r="C317" s="3">
        <v>10</v>
      </c>
    </row>
    <row r="318" spans="2:9">
      <c r="B318" s="3" t="s">
        <v>142</v>
      </c>
      <c r="C318" s="3">
        <v>15</v>
      </c>
    </row>
    <row r="319" spans="2:9">
      <c r="B319" s="6" t="s">
        <v>7</v>
      </c>
      <c r="C319" s="3"/>
    </row>
    <row r="320" spans="2:9">
      <c r="B320" s="3" t="s">
        <v>143</v>
      </c>
      <c r="C320" s="3">
        <f>C318-C317</f>
        <v>5</v>
      </c>
    </row>
    <row r="321" spans="2:9">
      <c r="B321" s="3" t="s">
        <v>13</v>
      </c>
      <c r="C321" s="15">
        <f>C316*(1-EXP(-0.4*C320))</f>
        <v>86.466471676338728</v>
      </c>
    </row>
    <row r="328" spans="2:9" ht="19.5" thickBot="1"/>
    <row r="329" spans="2:9" ht="78.75" customHeight="1" thickBot="1">
      <c r="B329" s="226" t="s">
        <v>916</v>
      </c>
      <c r="C329" s="227"/>
      <c r="D329" s="227"/>
      <c r="E329" s="227"/>
      <c r="F329" s="227"/>
      <c r="G329" s="227"/>
      <c r="H329" s="227"/>
      <c r="I329" s="228"/>
    </row>
    <row r="332" spans="2:9">
      <c r="B332" s="3" t="s">
        <v>144</v>
      </c>
      <c r="C332" s="3">
        <v>14000</v>
      </c>
    </row>
    <row r="333" spans="2:9">
      <c r="B333" s="3" t="s">
        <v>145</v>
      </c>
      <c r="C333" s="9">
        <v>0.1</v>
      </c>
    </row>
    <row r="334" spans="2:9">
      <c r="B334" s="3" t="s">
        <v>146</v>
      </c>
      <c r="C334" s="9">
        <v>0.05</v>
      </c>
      <c r="D334" s="35" t="s">
        <v>76</v>
      </c>
    </row>
    <row r="335" spans="2:9">
      <c r="B335" s="3" t="s">
        <v>147</v>
      </c>
      <c r="C335" s="3">
        <v>30</v>
      </c>
      <c r="D335" s="35" t="s">
        <v>76</v>
      </c>
    </row>
    <row r="336" spans="2:9">
      <c r="B336" s="3" t="s">
        <v>74</v>
      </c>
      <c r="C336" s="3">
        <v>60</v>
      </c>
    </row>
    <row r="337" spans="2:9">
      <c r="B337" s="3" t="s">
        <v>75</v>
      </c>
      <c r="C337" s="3">
        <v>0.95</v>
      </c>
    </row>
    <row r="338" spans="2:9">
      <c r="B338" s="3" t="s">
        <v>871</v>
      </c>
      <c r="C338" s="3">
        <v>100000</v>
      </c>
    </row>
    <row r="339" spans="2:9">
      <c r="B339" s="6" t="s">
        <v>7</v>
      </c>
      <c r="C339" s="3"/>
    </row>
    <row r="340" spans="2:9">
      <c r="B340" s="3" t="s">
        <v>13</v>
      </c>
      <c r="C340" s="15">
        <f>C332*(1+C333)*C337*C336+C338</f>
        <v>977800.00000000012</v>
      </c>
    </row>
    <row r="347" spans="2:9" ht="19.5" thickBot="1"/>
    <row r="348" spans="2:9" ht="81.75" customHeight="1" thickBot="1">
      <c r="B348" s="226" t="s">
        <v>148</v>
      </c>
      <c r="C348" s="227"/>
      <c r="D348" s="227"/>
      <c r="E348" s="227"/>
      <c r="F348" s="227"/>
      <c r="G348" s="227"/>
      <c r="H348" s="227"/>
      <c r="I348" s="228"/>
    </row>
    <row r="351" spans="2:9">
      <c r="B351" s="3" t="s">
        <v>149</v>
      </c>
      <c r="C351" s="3">
        <v>900000000</v>
      </c>
    </row>
    <row r="352" spans="2:9">
      <c r="B352" s="3" t="s">
        <v>150</v>
      </c>
      <c r="C352" s="18">
        <v>1985</v>
      </c>
    </row>
    <row r="353" spans="2:4">
      <c r="B353" s="3" t="s">
        <v>83</v>
      </c>
      <c r="C353" s="18">
        <v>2017</v>
      </c>
    </row>
    <row r="354" spans="2:4">
      <c r="B354" s="3" t="s">
        <v>6</v>
      </c>
      <c r="C354" s="3">
        <v>40</v>
      </c>
    </row>
    <row r="355" spans="2:4">
      <c r="B355" s="3" t="s">
        <v>154</v>
      </c>
      <c r="C355" s="3">
        <v>550000000</v>
      </c>
    </row>
    <row r="356" spans="2:4">
      <c r="B356" s="3" t="s">
        <v>152</v>
      </c>
      <c r="C356" s="3">
        <v>50000000</v>
      </c>
    </row>
    <row r="357" spans="2:4">
      <c r="B357" s="3" t="s">
        <v>151</v>
      </c>
      <c r="C357" s="18">
        <v>2008</v>
      </c>
    </row>
    <row r="358" spans="2:4">
      <c r="B358" s="3" t="s">
        <v>153</v>
      </c>
      <c r="C358" s="9">
        <v>0.5</v>
      </c>
    </row>
    <row r="359" spans="2:4">
      <c r="B359" s="6" t="s">
        <v>7</v>
      </c>
      <c r="C359" s="3"/>
    </row>
    <row r="360" spans="2:4">
      <c r="B360" s="3" t="s">
        <v>155</v>
      </c>
      <c r="C360" s="3">
        <f>C355-C356</f>
        <v>500000000</v>
      </c>
    </row>
    <row r="361" spans="2:4">
      <c r="B361" s="3" t="s">
        <v>156</v>
      </c>
      <c r="C361" s="3">
        <f>C360*(1+C358)</f>
        <v>750000000</v>
      </c>
    </row>
    <row r="362" spans="2:4">
      <c r="B362" s="3" t="s">
        <v>157</v>
      </c>
      <c r="C362" s="3">
        <f>C351-C361</f>
        <v>150000000</v>
      </c>
    </row>
    <row r="363" spans="2:4">
      <c r="B363" s="3" t="s">
        <v>158</v>
      </c>
      <c r="C363" s="7">
        <f>(C353-C357)/C354</f>
        <v>0.22500000000000001</v>
      </c>
      <c r="D363" s="24" t="s">
        <v>159</v>
      </c>
    </row>
    <row r="364" spans="2:4">
      <c r="B364" s="3" t="s">
        <v>160</v>
      </c>
      <c r="C364" s="9">
        <f>(C353-C352)/C354</f>
        <v>0.8</v>
      </c>
    </row>
    <row r="365" spans="2:4">
      <c r="B365" s="3" t="s">
        <v>13</v>
      </c>
      <c r="C365" s="15">
        <f>C361*(1-C363)+C362*(1-C364)</f>
        <v>611250000</v>
      </c>
    </row>
    <row r="372" spans="2:9" ht="19.5" thickBot="1"/>
    <row r="373" spans="2:9" ht="77.45" customHeight="1" thickBot="1">
      <c r="B373" s="226" t="s">
        <v>173</v>
      </c>
      <c r="C373" s="227"/>
      <c r="D373" s="227"/>
      <c r="E373" s="227"/>
      <c r="F373" s="227"/>
      <c r="G373" s="227"/>
      <c r="H373" s="227"/>
      <c r="I373" s="228"/>
    </row>
    <row r="376" spans="2:9">
      <c r="B376" s="3" t="s">
        <v>129</v>
      </c>
      <c r="C376" s="3">
        <v>10000</v>
      </c>
    </row>
    <row r="377" spans="2:9">
      <c r="B377" s="3" t="s">
        <v>161</v>
      </c>
      <c r="C377" s="9">
        <v>0.8</v>
      </c>
    </row>
    <row r="378" spans="2:9">
      <c r="B378" s="3" t="s">
        <v>162</v>
      </c>
      <c r="C378" s="3">
        <v>20</v>
      </c>
    </row>
    <row r="379" spans="2:9">
      <c r="B379" s="3" t="s">
        <v>163</v>
      </c>
      <c r="C379" s="3">
        <v>5</v>
      </c>
    </row>
    <row r="380" spans="2:9">
      <c r="B380" s="3" t="s">
        <v>164</v>
      </c>
      <c r="C380" s="3">
        <v>4</v>
      </c>
    </row>
    <row r="381" spans="2:9">
      <c r="B381" s="3" t="s">
        <v>165</v>
      </c>
      <c r="C381" s="9">
        <v>0.2</v>
      </c>
    </row>
    <row r="382" spans="2:9">
      <c r="B382" s="3" t="s">
        <v>166</v>
      </c>
      <c r="C382" s="9">
        <v>0.1</v>
      </c>
    </row>
    <row r="383" spans="2:9">
      <c r="B383" s="6" t="s">
        <v>7</v>
      </c>
      <c r="C383" s="3"/>
    </row>
    <row r="384" spans="2:9">
      <c r="B384" s="3" t="s">
        <v>167</v>
      </c>
      <c r="C384" s="9">
        <f>C380/C378</f>
        <v>0.2</v>
      </c>
    </row>
    <row r="385" spans="2:9">
      <c r="B385" s="3" t="s">
        <v>168</v>
      </c>
      <c r="C385" s="9">
        <f>C380/C379</f>
        <v>0.8</v>
      </c>
    </row>
    <row r="386" spans="2:9">
      <c r="B386" s="3" t="s">
        <v>169</v>
      </c>
      <c r="C386" s="9">
        <f>C384-C381</f>
        <v>0</v>
      </c>
    </row>
    <row r="387" spans="2:9">
      <c r="B387" s="3" t="s">
        <v>170</v>
      </c>
      <c r="C387" s="9">
        <f>C385-C382</f>
        <v>0.70000000000000007</v>
      </c>
    </row>
    <row r="388" spans="2:9">
      <c r="B388" s="3" t="s">
        <v>171</v>
      </c>
      <c r="C388" s="9">
        <f>C386*C377+C387*(1-C377)</f>
        <v>0.13999999999999999</v>
      </c>
      <c r="D388" s="78" t="s">
        <v>172</v>
      </c>
    </row>
    <row r="389" spans="2:9">
      <c r="B389" s="3" t="s">
        <v>13</v>
      </c>
      <c r="C389" s="15">
        <f>C376*(1-C388)</f>
        <v>8600</v>
      </c>
    </row>
    <row r="396" spans="2:9" ht="19.5" thickBot="1"/>
    <row r="397" spans="2:9" ht="78" customHeight="1" thickBot="1">
      <c r="B397" s="226" t="s">
        <v>917</v>
      </c>
      <c r="C397" s="227"/>
      <c r="D397" s="227"/>
      <c r="E397" s="227"/>
      <c r="F397" s="227"/>
      <c r="G397" s="227"/>
      <c r="H397" s="227"/>
      <c r="I397" s="228"/>
    </row>
    <row r="400" spans="2:9">
      <c r="B400" s="3" t="s">
        <v>174</v>
      </c>
      <c r="C400" s="3">
        <v>5000000</v>
      </c>
    </row>
    <row r="401" spans="2:4">
      <c r="B401" s="3" t="s">
        <v>175</v>
      </c>
      <c r="C401" s="9">
        <v>0.3</v>
      </c>
    </row>
    <row r="402" spans="2:4">
      <c r="B402" s="3" t="s">
        <v>177</v>
      </c>
      <c r="C402" s="26">
        <v>2007</v>
      </c>
    </row>
    <row r="403" spans="2:4">
      <c r="B403" s="3" t="s">
        <v>83</v>
      </c>
      <c r="C403" s="26">
        <v>2010</v>
      </c>
    </row>
    <row r="404" spans="2:4">
      <c r="B404" s="3" t="s">
        <v>176</v>
      </c>
      <c r="C404" s="9">
        <v>0.2</v>
      </c>
    </row>
    <row r="405" spans="2:4">
      <c r="B405" s="3" t="s">
        <v>178</v>
      </c>
      <c r="C405" s="3">
        <v>32</v>
      </c>
    </row>
    <row r="406" spans="2:4">
      <c r="B406" s="3" t="s">
        <v>179</v>
      </c>
      <c r="C406" s="3">
        <v>72</v>
      </c>
    </row>
    <row r="407" spans="2:4">
      <c r="B407" s="3" t="s">
        <v>180</v>
      </c>
      <c r="C407" s="3">
        <v>1.3</v>
      </c>
    </row>
    <row r="408" spans="2:4">
      <c r="B408" s="6" t="s">
        <v>7</v>
      </c>
      <c r="C408" s="3"/>
    </row>
    <row r="409" spans="2:4">
      <c r="B409" s="3" t="s">
        <v>181</v>
      </c>
      <c r="C409" s="3">
        <f>C400/(1+C401)</f>
        <v>3846153.846153846</v>
      </c>
    </row>
    <row r="410" spans="2:4">
      <c r="B410" s="3" t="s">
        <v>182</v>
      </c>
      <c r="C410" s="3">
        <f>C400-C409</f>
        <v>1153846.153846154</v>
      </c>
      <c r="D410" s="35" t="s">
        <v>188</v>
      </c>
    </row>
    <row r="411" spans="2:4">
      <c r="B411" s="3" t="s">
        <v>183</v>
      </c>
      <c r="C411" s="3">
        <f>C409/C405</f>
        <v>120192.30769230769</v>
      </c>
      <c r="D411" s="35" t="s">
        <v>189</v>
      </c>
    </row>
    <row r="412" spans="2:4">
      <c r="B412" s="3" t="s">
        <v>184</v>
      </c>
      <c r="C412" s="3">
        <f>C411*C407</f>
        <v>156250</v>
      </c>
    </row>
    <row r="413" spans="2:4">
      <c r="B413" s="3" t="s">
        <v>185</v>
      </c>
      <c r="C413" s="3">
        <f>C412*C406</f>
        <v>11250000</v>
      </c>
      <c r="D413" s="35" t="s">
        <v>190</v>
      </c>
    </row>
    <row r="414" spans="2:4">
      <c r="B414" s="3" t="s">
        <v>186</v>
      </c>
      <c r="C414" s="3">
        <f>C410*(1+C404)</f>
        <v>1384615.3846153847</v>
      </c>
      <c r="D414" s="35" t="s">
        <v>191</v>
      </c>
    </row>
    <row r="415" spans="2:4">
      <c r="B415" s="3" t="s">
        <v>187</v>
      </c>
      <c r="C415" s="15">
        <f>C413+C414</f>
        <v>12634615.384615384</v>
      </c>
    </row>
    <row r="422" spans="2:9" ht="19.5" thickBot="1"/>
    <row r="423" spans="2:9" ht="59.25" customHeight="1" thickBot="1">
      <c r="B423" s="226" t="s">
        <v>918</v>
      </c>
      <c r="C423" s="227"/>
      <c r="D423" s="227"/>
      <c r="E423" s="227"/>
      <c r="F423" s="227"/>
      <c r="G423" s="227"/>
      <c r="H423" s="227"/>
      <c r="I423" s="228"/>
    </row>
    <row r="426" spans="2:9">
      <c r="B426" s="3" t="s">
        <v>192</v>
      </c>
      <c r="C426" s="3">
        <v>5000000</v>
      </c>
    </row>
    <row r="427" spans="2:9">
      <c r="B427" s="3" t="s">
        <v>193</v>
      </c>
      <c r="C427" s="9">
        <v>0.3</v>
      </c>
    </row>
    <row r="428" spans="2:9">
      <c r="B428" s="3" t="s">
        <v>176</v>
      </c>
      <c r="C428" s="9">
        <v>0.2</v>
      </c>
    </row>
    <row r="429" spans="2:9">
      <c r="B429" s="3" t="s">
        <v>194</v>
      </c>
      <c r="C429" s="9">
        <v>0.1</v>
      </c>
    </row>
    <row r="430" spans="2:9">
      <c r="B430" s="6" t="s">
        <v>7</v>
      </c>
      <c r="C430" s="3"/>
    </row>
    <row r="431" spans="2:9">
      <c r="B431" s="3" t="s">
        <v>129</v>
      </c>
      <c r="C431" s="3">
        <f>C426/(1+C427)</f>
        <v>3846153.846153846</v>
      </c>
    </row>
    <row r="432" spans="2:9">
      <c r="B432" s="3" t="s">
        <v>195</v>
      </c>
      <c r="C432" s="3">
        <f>C426-C431</f>
        <v>1153846.153846154</v>
      </c>
    </row>
    <row r="433" spans="2:9">
      <c r="B433" s="3" t="s">
        <v>196</v>
      </c>
      <c r="C433" s="3">
        <f>C431*(1+C429)</f>
        <v>4230769.230769231</v>
      </c>
    </row>
    <row r="434" spans="2:9">
      <c r="B434" s="3" t="s">
        <v>197</v>
      </c>
      <c r="C434" s="3">
        <f>C432*(1+C428)</f>
        <v>1384615.3846153847</v>
      </c>
    </row>
    <row r="435" spans="2:9">
      <c r="B435" s="3" t="s">
        <v>13</v>
      </c>
      <c r="C435" s="15">
        <f>C433+C434</f>
        <v>5615384.615384616</v>
      </c>
    </row>
    <row r="442" spans="2:9" ht="19.5" thickBot="1"/>
    <row r="443" spans="2:9" ht="61.5" customHeight="1" thickBot="1">
      <c r="B443" s="226" t="s">
        <v>919</v>
      </c>
      <c r="C443" s="227"/>
      <c r="D443" s="227"/>
      <c r="E443" s="227"/>
      <c r="F443" s="227"/>
      <c r="G443" s="227"/>
      <c r="H443" s="227"/>
      <c r="I443" s="228"/>
    </row>
    <row r="446" spans="2:9">
      <c r="B446" s="3"/>
      <c r="C446" s="4" t="s">
        <v>198</v>
      </c>
      <c r="D446" s="4" t="s">
        <v>199</v>
      </c>
      <c r="E446" s="3"/>
    </row>
    <row r="447" spans="2:9">
      <c r="B447" s="3" t="s">
        <v>80</v>
      </c>
      <c r="C447" s="3">
        <v>100</v>
      </c>
      <c r="D447" s="3">
        <v>160</v>
      </c>
      <c r="E447" s="10">
        <f>LN(C447/D447)</f>
        <v>-0.47000362924573558</v>
      </c>
    </row>
    <row r="448" spans="2:9">
      <c r="B448" s="3" t="s">
        <v>200</v>
      </c>
      <c r="C448" s="3">
        <v>10</v>
      </c>
      <c r="D448" s="3">
        <v>20</v>
      </c>
      <c r="E448" s="10">
        <f>LN(C448/D448)</f>
        <v>-0.69314718055994529</v>
      </c>
    </row>
    <row r="449" spans="2:5">
      <c r="B449" s="3" t="s">
        <v>201</v>
      </c>
      <c r="C449" s="3"/>
      <c r="D449" s="3"/>
      <c r="E449" s="27">
        <f>E447/E448</f>
        <v>0.67807190511263771</v>
      </c>
    </row>
    <row r="450" spans="2:5">
      <c r="B450" s="3" t="s">
        <v>202</v>
      </c>
      <c r="C450" s="10">
        <f>C447*(15/C448)^E449</f>
        <v>131.64444427098005</v>
      </c>
      <c r="D450" s="10">
        <f>D447*(15/D448)^E449</f>
        <v>131.64444427098002</v>
      </c>
      <c r="E450" s="3"/>
    </row>
    <row r="451" spans="2:5">
      <c r="B451" s="3" t="s">
        <v>98</v>
      </c>
      <c r="C451" s="9">
        <v>0.4</v>
      </c>
    </row>
    <row r="452" spans="2:5">
      <c r="B452" s="3" t="s">
        <v>98</v>
      </c>
      <c r="C452" s="10">
        <f>C450*C451</f>
        <v>52.657777708392018</v>
      </c>
    </row>
    <row r="453" spans="2:5">
      <c r="B453" s="3" t="s">
        <v>125</v>
      </c>
      <c r="C453" s="10">
        <f>C450+C452</f>
        <v>184.30222197937206</v>
      </c>
    </row>
    <row r="454" spans="2:5">
      <c r="B454" s="3" t="s">
        <v>203</v>
      </c>
      <c r="C454" s="3">
        <v>25</v>
      </c>
    </row>
    <row r="455" spans="2:5">
      <c r="B455" s="3" t="s">
        <v>204</v>
      </c>
      <c r="C455" s="3">
        <v>18</v>
      </c>
    </row>
    <row r="456" spans="2:5">
      <c r="B456" s="3" t="s">
        <v>205</v>
      </c>
      <c r="C456" s="3">
        <f>C454-C455</f>
        <v>7</v>
      </c>
    </row>
    <row r="457" spans="2:5">
      <c r="B457" s="3" t="s">
        <v>15</v>
      </c>
      <c r="C457" s="9">
        <f>C456/C454</f>
        <v>0.28000000000000003</v>
      </c>
    </row>
    <row r="458" spans="2:5">
      <c r="B458" s="3" t="s">
        <v>13</v>
      </c>
      <c r="C458" s="15">
        <f>C453*(1-C457)</f>
        <v>132.69759982514788</v>
      </c>
    </row>
    <row r="465" spans="2:9" ht="19.5" thickBot="1"/>
    <row r="466" spans="2:9" ht="41.25" customHeight="1" thickBot="1">
      <c r="B466" s="226" t="s">
        <v>206</v>
      </c>
      <c r="C466" s="227"/>
      <c r="D466" s="227"/>
      <c r="E466" s="227"/>
      <c r="F466" s="227"/>
      <c r="G466" s="227"/>
      <c r="H466" s="227"/>
      <c r="I466" s="228"/>
    </row>
    <row r="469" spans="2:9">
      <c r="B469" s="3" t="s">
        <v>207</v>
      </c>
      <c r="C469" s="3">
        <v>20000</v>
      </c>
    </row>
    <row r="470" spans="2:9">
      <c r="B470" s="3" t="s">
        <v>208</v>
      </c>
      <c r="C470" s="3">
        <v>5</v>
      </c>
    </row>
    <row r="471" spans="2:9">
      <c r="B471" s="6" t="s">
        <v>7</v>
      </c>
      <c r="C471" s="3"/>
    </row>
    <row r="472" spans="2:9">
      <c r="B472" s="3" t="s">
        <v>209</v>
      </c>
      <c r="C472" s="15">
        <f>C469/C470/12</f>
        <v>333.33333333333331</v>
      </c>
    </row>
    <row r="479" spans="2:9" ht="19.5" thickBot="1"/>
    <row r="480" spans="2:9" ht="79.150000000000006" customHeight="1" thickBot="1">
      <c r="B480" s="226" t="s">
        <v>211</v>
      </c>
      <c r="C480" s="227"/>
      <c r="D480" s="227"/>
      <c r="E480" s="227"/>
      <c r="F480" s="227"/>
      <c r="G480" s="227"/>
      <c r="H480" s="227"/>
      <c r="I480" s="228"/>
    </row>
    <row r="483" spans="2:4">
      <c r="B483" s="3" t="s">
        <v>10</v>
      </c>
      <c r="C483" s="3">
        <v>1200000</v>
      </c>
    </row>
    <row r="484" spans="2:4">
      <c r="B484" s="3" t="s">
        <v>213</v>
      </c>
      <c r="C484" s="3">
        <v>400000</v>
      </c>
    </row>
    <row r="485" spans="2:4">
      <c r="B485" s="3" t="s">
        <v>210</v>
      </c>
      <c r="C485" s="3">
        <v>600</v>
      </c>
    </row>
    <row r="486" spans="2:4">
      <c r="B486" s="3" t="s">
        <v>33</v>
      </c>
      <c r="C486" s="3">
        <v>8</v>
      </c>
    </row>
    <row r="487" spans="2:4">
      <c r="B487" s="6" t="s">
        <v>7</v>
      </c>
      <c r="C487" s="3"/>
    </row>
    <row r="488" spans="2:4">
      <c r="B488" s="3" t="s">
        <v>212</v>
      </c>
      <c r="C488" s="3">
        <f>0.1*C486+0.003*C485</f>
        <v>2.6</v>
      </c>
    </row>
    <row r="489" spans="2:4">
      <c r="B489" s="3" t="s">
        <v>82</v>
      </c>
      <c r="C489" s="7">
        <f>1-EXP(-C488)</f>
        <v>0.92572642178566611</v>
      </c>
    </row>
    <row r="490" spans="2:4">
      <c r="B490" s="3" t="s">
        <v>872</v>
      </c>
      <c r="C490" s="3">
        <f>C483*(1-C489)</f>
        <v>89128.293857200668</v>
      </c>
      <c r="D490" s="35" t="s">
        <v>920</v>
      </c>
    </row>
    <row r="491" spans="2:4">
      <c r="B491" s="3" t="s">
        <v>13</v>
      </c>
      <c r="C491" s="15">
        <f>C484</f>
        <v>400000</v>
      </c>
    </row>
    <row r="498" spans="2:9" ht="19.5" thickBot="1"/>
    <row r="499" spans="2:9" ht="42.75" customHeight="1" thickBot="1">
      <c r="B499" s="226" t="s">
        <v>214</v>
      </c>
      <c r="C499" s="227"/>
      <c r="D499" s="227"/>
      <c r="E499" s="227"/>
      <c r="F499" s="227"/>
      <c r="G499" s="227"/>
      <c r="H499" s="227"/>
      <c r="I499" s="228"/>
    </row>
    <row r="502" spans="2:9">
      <c r="B502" s="3" t="s">
        <v>215</v>
      </c>
      <c r="C502" s="3">
        <v>30000</v>
      </c>
    </row>
    <row r="503" spans="2:9">
      <c r="B503" s="3" t="s">
        <v>216</v>
      </c>
      <c r="C503" s="3">
        <v>12500</v>
      </c>
    </row>
    <row r="504" spans="2:9">
      <c r="B504" s="3" t="s">
        <v>217</v>
      </c>
      <c r="C504" s="3">
        <v>2000</v>
      </c>
    </row>
    <row r="505" spans="2:9">
      <c r="B505" s="3" t="s">
        <v>218</v>
      </c>
      <c r="C505" s="9">
        <v>0.25</v>
      </c>
    </row>
    <row r="506" spans="2:9">
      <c r="B506" s="6" t="s">
        <v>7</v>
      </c>
      <c r="C506" s="3"/>
    </row>
    <row r="507" spans="2:9">
      <c r="B507" s="3" t="s">
        <v>161</v>
      </c>
      <c r="C507" s="9">
        <f>1-C505</f>
        <v>0.75</v>
      </c>
    </row>
    <row r="508" spans="2:9">
      <c r="B508" s="3" t="s">
        <v>219</v>
      </c>
      <c r="C508" s="7">
        <f>C503/C502*C507</f>
        <v>0.3125</v>
      </c>
      <c r="D508" s="35" t="s">
        <v>220</v>
      </c>
    </row>
    <row r="509" spans="2:9">
      <c r="B509" s="3" t="s">
        <v>221</v>
      </c>
      <c r="C509" s="3">
        <f>C503-12000</f>
        <v>500</v>
      </c>
      <c r="D509" s="35" t="s">
        <v>222</v>
      </c>
    </row>
    <row r="510" spans="2:9">
      <c r="B510" s="3" t="s">
        <v>223</v>
      </c>
      <c r="C510" s="112">
        <f>C509/C504</f>
        <v>0.25</v>
      </c>
      <c r="D510" s="35" t="s">
        <v>908</v>
      </c>
    </row>
    <row r="511" spans="2:9">
      <c r="B511" s="3" t="s">
        <v>223</v>
      </c>
      <c r="C511" s="7">
        <f>C510*C505</f>
        <v>6.25E-2</v>
      </c>
    </row>
    <row r="512" spans="2:9">
      <c r="B512" s="3" t="s">
        <v>224</v>
      </c>
      <c r="C512" s="50">
        <f>C508+C511</f>
        <v>0.375</v>
      </c>
    </row>
    <row r="519" spans="2:9" ht="19.5" thickBot="1"/>
    <row r="520" spans="2:9" ht="77.25" customHeight="1" thickBot="1">
      <c r="B520" s="226" t="s">
        <v>225</v>
      </c>
      <c r="C520" s="227"/>
      <c r="D520" s="227"/>
      <c r="E520" s="227"/>
      <c r="F520" s="227"/>
      <c r="G520" s="227"/>
      <c r="H520" s="227"/>
      <c r="I520" s="228"/>
    </row>
    <row r="523" spans="2:9">
      <c r="B523" s="3" t="s">
        <v>226</v>
      </c>
      <c r="C523" s="3">
        <v>450000</v>
      </c>
    </row>
    <row r="524" spans="2:9">
      <c r="B524" s="3" t="s">
        <v>227</v>
      </c>
      <c r="C524" s="18">
        <v>2010</v>
      </c>
    </row>
    <row r="525" spans="2:9">
      <c r="B525" s="3" t="s">
        <v>83</v>
      </c>
      <c r="C525" s="18">
        <v>2017</v>
      </c>
    </row>
    <row r="526" spans="2:9">
      <c r="B526" s="3" t="s">
        <v>228</v>
      </c>
      <c r="C526" s="3">
        <v>1.84</v>
      </c>
    </row>
    <row r="527" spans="2:9">
      <c r="B527" s="3" t="s">
        <v>229</v>
      </c>
      <c r="C527" s="3">
        <v>2.27</v>
      </c>
    </row>
    <row r="528" spans="2:9">
      <c r="B528" s="3" t="s">
        <v>230</v>
      </c>
      <c r="C528" s="3">
        <v>32</v>
      </c>
      <c r="D528" s="35" t="s">
        <v>76</v>
      </c>
    </row>
    <row r="529" spans="2:4">
      <c r="B529" s="3" t="s">
        <v>231</v>
      </c>
      <c r="C529" s="3">
        <v>58</v>
      </c>
    </row>
    <row r="530" spans="2:4">
      <c r="B530" s="3" t="s">
        <v>233</v>
      </c>
      <c r="C530" s="9">
        <v>0.3</v>
      </c>
    </row>
    <row r="531" spans="2:4">
      <c r="B531" s="3" t="s">
        <v>232</v>
      </c>
      <c r="C531" s="9">
        <v>0.08</v>
      </c>
      <c r="D531" s="35" t="s">
        <v>234</v>
      </c>
    </row>
    <row r="532" spans="2:4">
      <c r="B532" s="6" t="s">
        <v>7</v>
      </c>
      <c r="C532" s="3"/>
    </row>
    <row r="533" spans="2:4">
      <c r="B533" s="3" t="s">
        <v>235</v>
      </c>
      <c r="C533" s="3">
        <f>C527/C526</f>
        <v>1.2336956521739131</v>
      </c>
    </row>
    <row r="534" spans="2:4">
      <c r="B534" s="28" t="s">
        <v>239</v>
      </c>
      <c r="C534" s="3"/>
    </row>
    <row r="535" spans="2:4">
      <c r="B535" s="3" t="s">
        <v>236</v>
      </c>
      <c r="C535" s="3">
        <f>C523*C533*C529</f>
        <v>32199456.521739129</v>
      </c>
    </row>
    <row r="536" spans="2:4">
      <c r="B536" s="3" t="s">
        <v>237</v>
      </c>
      <c r="C536" s="3">
        <f>C535*C530</f>
        <v>9659836.9565217383</v>
      </c>
    </row>
    <row r="537" spans="2:4">
      <c r="B537" s="3" t="s">
        <v>232</v>
      </c>
      <c r="C537" s="3">
        <f>C535*C531</f>
        <v>2575956.5217391304</v>
      </c>
    </row>
    <row r="538" spans="2:4">
      <c r="B538" s="3" t="s">
        <v>13</v>
      </c>
      <c r="C538" s="15">
        <f>C535+C536+C537</f>
        <v>44435250</v>
      </c>
    </row>
    <row r="539" spans="2:4">
      <c r="B539" s="28" t="s">
        <v>238</v>
      </c>
      <c r="C539" s="3"/>
    </row>
    <row r="540" spans="2:4">
      <c r="B540" s="3" t="s">
        <v>13</v>
      </c>
      <c r="C540" s="15">
        <f>C523*C533*C529*(1+C530)*(1+C531)</f>
        <v>45208036.956521742</v>
      </c>
    </row>
    <row r="542" spans="2:4">
      <c r="B542" s="35" t="s">
        <v>876</v>
      </c>
    </row>
    <row r="549" spans="2:9" ht="19.5" thickBot="1"/>
    <row r="550" spans="2:9" ht="40.5" customHeight="1" thickBot="1">
      <c r="B550" s="226" t="s">
        <v>240</v>
      </c>
      <c r="C550" s="227"/>
      <c r="D550" s="227"/>
      <c r="E550" s="227"/>
      <c r="F550" s="227"/>
      <c r="G550" s="227"/>
      <c r="H550" s="227"/>
      <c r="I550" s="228"/>
    </row>
    <row r="553" spans="2:9">
      <c r="B553" s="3"/>
      <c r="C553" s="4" t="s">
        <v>4</v>
      </c>
      <c r="D553" s="4" t="s">
        <v>241</v>
      </c>
      <c r="E553" s="4" t="s">
        <v>242</v>
      </c>
    </row>
    <row r="554" spans="2:9">
      <c r="B554" s="3" t="s">
        <v>243</v>
      </c>
      <c r="C554" s="3"/>
      <c r="D554" s="3">
        <v>1300000</v>
      </c>
      <c r="E554" s="3">
        <v>1420000</v>
      </c>
    </row>
    <row r="555" spans="2:9">
      <c r="B555" s="3" t="s">
        <v>31</v>
      </c>
      <c r="C555" s="3"/>
      <c r="D555" s="9">
        <v>7.0000000000000007E-2</v>
      </c>
      <c r="E555" s="9">
        <v>7.0000000000000007E-2</v>
      </c>
    </row>
    <row r="556" spans="2:9">
      <c r="B556" s="3" t="s">
        <v>244</v>
      </c>
      <c r="C556" s="15">
        <f>AVERAGE(D556:E556)</f>
        <v>1264800</v>
      </c>
      <c r="D556" s="3">
        <f>D554*(1-D555)</f>
        <v>1209000</v>
      </c>
      <c r="E556" s="3">
        <f>E554*(1-E555)</f>
        <v>1320600</v>
      </c>
    </row>
    <row r="558" spans="2:9">
      <c r="B558" s="35" t="s">
        <v>877</v>
      </c>
    </row>
    <row r="565" spans="2:9" ht="19.5" thickBot="1"/>
    <row r="566" spans="2:9" ht="58.15" customHeight="1" thickBot="1">
      <c r="B566" s="226" t="s">
        <v>245</v>
      </c>
      <c r="C566" s="227"/>
      <c r="D566" s="227"/>
      <c r="E566" s="227"/>
      <c r="F566" s="227"/>
      <c r="G566" s="227"/>
      <c r="H566" s="227"/>
      <c r="I566" s="228"/>
    </row>
    <row r="569" spans="2:9">
      <c r="B569" s="3" t="s">
        <v>246</v>
      </c>
      <c r="C569" s="18">
        <v>2010</v>
      </c>
      <c r="D569" s="35" t="s">
        <v>76</v>
      </c>
    </row>
    <row r="570" spans="2:9">
      <c r="B570" s="3" t="s">
        <v>83</v>
      </c>
      <c r="C570" s="18">
        <v>2018</v>
      </c>
      <c r="D570" s="35" t="s">
        <v>76</v>
      </c>
    </row>
    <row r="571" spans="2:9">
      <c r="B571" s="3" t="s">
        <v>6</v>
      </c>
      <c r="C571" s="18">
        <v>25</v>
      </c>
    </row>
    <row r="572" spans="2:9">
      <c r="B572" s="3" t="s">
        <v>20</v>
      </c>
      <c r="C572" s="18">
        <v>12</v>
      </c>
    </row>
    <row r="573" spans="2:9">
      <c r="B573" s="28" t="s">
        <v>7</v>
      </c>
      <c r="C573" s="3"/>
    </row>
    <row r="574" spans="2:9">
      <c r="B574" s="3" t="s">
        <v>247</v>
      </c>
      <c r="C574" s="198">
        <f>C571-C572</f>
        <v>13</v>
      </c>
    </row>
    <row r="581" spans="2:9" ht="19.5" thickBot="1"/>
    <row r="582" spans="2:9" ht="18.600000000000001" customHeight="1" thickBot="1">
      <c r="B582" s="229" t="s">
        <v>921</v>
      </c>
      <c r="C582" s="230"/>
      <c r="D582" s="230"/>
      <c r="E582" s="230"/>
      <c r="F582" s="230"/>
      <c r="G582" s="230"/>
      <c r="H582" s="230"/>
      <c r="I582" s="231"/>
    </row>
    <row r="585" spans="2:9">
      <c r="B585" s="3" t="s">
        <v>248</v>
      </c>
      <c r="C585" s="3">
        <v>125000</v>
      </c>
    </row>
    <row r="586" spans="2:9">
      <c r="B586" s="3" t="s">
        <v>249</v>
      </c>
      <c r="C586" s="3">
        <v>95000</v>
      </c>
    </row>
    <row r="587" spans="2:9">
      <c r="B587" s="6" t="s">
        <v>7</v>
      </c>
      <c r="C587" s="3"/>
    </row>
    <row r="588" spans="2:9">
      <c r="B588" s="3" t="s">
        <v>82</v>
      </c>
      <c r="C588" s="15">
        <f>C585-C586</f>
        <v>30000</v>
      </c>
      <c r="D588" s="24" t="s">
        <v>250</v>
      </c>
    </row>
    <row r="589" spans="2:9">
      <c r="B589" s="3" t="s">
        <v>82</v>
      </c>
      <c r="C589" s="199">
        <f>1-C586/C585</f>
        <v>0.24</v>
      </c>
      <c r="D589" s="24" t="s">
        <v>250</v>
      </c>
    </row>
    <row r="596" spans="2:9" ht="19.5" thickBot="1"/>
    <row r="597" spans="2:9" ht="96.75" customHeight="1" thickBot="1">
      <c r="B597" s="226" t="s">
        <v>251</v>
      </c>
      <c r="C597" s="227"/>
      <c r="D597" s="227"/>
      <c r="E597" s="227"/>
      <c r="F597" s="227"/>
      <c r="G597" s="227"/>
      <c r="H597" s="227"/>
      <c r="I597" s="228"/>
    </row>
    <row r="600" spans="2:9">
      <c r="B600" s="3" t="s">
        <v>113</v>
      </c>
      <c r="C600" s="18">
        <v>2006</v>
      </c>
      <c r="E600" s="3"/>
      <c r="F600" s="4" t="s">
        <v>241</v>
      </c>
      <c r="G600" s="4" t="s">
        <v>242</v>
      </c>
      <c r="H600" s="3"/>
    </row>
    <row r="601" spans="2:9">
      <c r="B601" s="3" t="s">
        <v>909</v>
      </c>
      <c r="C601" s="3">
        <v>200000</v>
      </c>
      <c r="E601" s="3" t="s">
        <v>80</v>
      </c>
      <c r="F601" s="3">
        <v>170000</v>
      </c>
      <c r="G601" s="3">
        <v>250040</v>
      </c>
      <c r="H601" s="3">
        <f>LN(F601/G601)</f>
        <v>-0.3858224680133498</v>
      </c>
    </row>
    <row r="602" spans="2:9">
      <c r="B602" s="3" t="s">
        <v>83</v>
      </c>
      <c r="C602" s="18">
        <v>2017</v>
      </c>
      <c r="E602" s="3" t="s">
        <v>200</v>
      </c>
      <c r="F602" s="3">
        <v>70</v>
      </c>
      <c r="G602" s="3">
        <v>120</v>
      </c>
      <c r="H602" s="3">
        <f>LN(F602/G602)</f>
        <v>-0.5389965007326869</v>
      </c>
      <c r="I602" s="135">
        <f>H601/H602</f>
        <v>0.71581627615184995</v>
      </c>
    </row>
    <row r="603" spans="2:9">
      <c r="B603" s="3" t="s">
        <v>115</v>
      </c>
      <c r="C603" s="18">
        <v>25</v>
      </c>
    </row>
    <row r="604" spans="2:9">
      <c r="B604" s="3" t="s">
        <v>116</v>
      </c>
      <c r="C604" s="3">
        <v>100</v>
      </c>
    </row>
    <row r="605" spans="2:9">
      <c r="B605" s="3" t="s">
        <v>117</v>
      </c>
      <c r="C605" s="3">
        <v>80</v>
      </c>
    </row>
    <row r="606" spans="2:9">
      <c r="B606" s="3" t="s">
        <v>252</v>
      </c>
      <c r="C606" s="3">
        <v>250000</v>
      </c>
      <c r="D606" s="24"/>
    </row>
    <row r="607" spans="2:9">
      <c r="B607" s="3" t="s">
        <v>253</v>
      </c>
      <c r="C607" s="3">
        <v>60</v>
      </c>
      <c r="D607" s="24"/>
    </row>
    <row r="608" spans="2:9">
      <c r="B608" s="6" t="s">
        <v>7</v>
      </c>
      <c r="C608" s="3"/>
    </row>
    <row r="609" spans="2:9">
      <c r="B609" s="3" t="s">
        <v>118</v>
      </c>
      <c r="C609" s="25">
        <f>H601/H602</f>
        <v>0.71581627615184995</v>
      </c>
    </row>
    <row r="610" spans="2:9">
      <c r="B610" s="3" t="s">
        <v>254</v>
      </c>
      <c r="C610" s="3">
        <f>C606*(C604/C607)^C609</f>
        <v>360365.29078890866</v>
      </c>
      <c r="D610" s="35" t="s">
        <v>255</v>
      </c>
      <c r="E610" s="136"/>
    </row>
    <row r="611" spans="2:9">
      <c r="B611" s="3" t="s">
        <v>15</v>
      </c>
      <c r="C611" s="9">
        <f>(C602-C600)/C603</f>
        <v>0.44</v>
      </c>
      <c r="D611" s="35" t="s">
        <v>121</v>
      </c>
      <c r="E611" s="136"/>
    </row>
    <row r="612" spans="2:9">
      <c r="B612" s="3" t="s">
        <v>16</v>
      </c>
      <c r="C612" s="7">
        <f>1-(C605/C604)^C609</f>
        <v>0.14762591869585751</v>
      </c>
      <c r="D612" s="35" t="s">
        <v>122</v>
      </c>
      <c r="E612" s="35" t="s">
        <v>123</v>
      </c>
    </row>
    <row r="613" spans="2:9">
      <c r="B613" s="3" t="s">
        <v>13</v>
      </c>
      <c r="C613" s="15">
        <f>C610*(1-C611)*(1-C612)</f>
        <v>172012.97885525387</v>
      </c>
    </row>
    <row r="620" spans="2:9" ht="19.5" thickBot="1"/>
    <row r="621" spans="2:9" ht="59.25" customHeight="1" thickBot="1">
      <c r="B621" s="226" t="s">
        <v>256</v>
      </c>
      <c r="C621" s="227"/>
      <c r="D621" s="227"/>
      <c r="E621" s="227"/>
      <c r="F621" s="227"/>
      <c r="G621" s="227"/>
      <c r="H621" s="227"/>
      <c r="I621" s="228"/>
    </row>
    <row r="624" spans="2:9">
      <c r="B624" s="3" t="s">
        <v>257</v>
      </c>
      <c r="C624" s="3">
        <v>2000000</v>
      </c>
    </row>
    <row r="625" spans="2:9">
      <c r="B625" s="3" t="s">
        <v>258</v>
      </c>
      <c r="C625" s="3">
        <v>32</v>
      </c>
      <c r="D625" s="35" t="s">
        <v>261</v>
      </c>
    </row>
    <row r="626" spans="2:9">
      <c r="B626" s="3" t="s">
        <v>259</v>
      </c>
      <c r="C626" s="3">
        <v>61</v>
      </c>
    </row>
    <row r="627" spans="2:9">
      <c r="B627" s="3" t="s">
        <v>260</v>
      </c>
      <c r="C627" s="3">
        <v>1.05</v>
      </c>
    </row>
    <row r="628" spans="2:9">
      <c r="B628" s="6" t="s">
        <v>7</v>
      </c>
      <c r="C628" s="3"/>
    </row>
    <row r="629" spans="2:9">
      <c r="B629" s="3" t="s">
        <v>262</v>
      </c>
      <c r="C629" s="15">
        <f>C624*C627*C626</f>
        <v>128100000</v>
      </c>
    </row>
    <row r="636" spans="2:9" ht="19.5" thickBot="1"/>
    <row r="637" spans="2:9" ht="72.599999999999994" customHeight="1" thickBot="1">
      <c r="B637" s="226" t="s">
        <v>263</v>
      </c>
      <c r="C637" s="227"/>
      <c r="D637" s="227"/>
      <c r="E637" s="227"/>
      <c r="F637" s="227"/>
      <c r="G637" s="227"/>
      <c r="H637" s="227"/>
      <c r="I637" s="228"/>
    </row>
    <row r="640" spans="2:9">
      <c r="B640" s="3" t="s">
        <v>264</v>
      </c>
      <c r="C640" s="3">
        <v>2000000</v>
      </c>
    </row>
    <row r="641" spans="2:9">
      <c r="B641" s="3" t="s">
        <v>34</v>
      </c>
      <c r="C641" s="3">
        <v>15</v>
      </c>
    </row>
    <row r="642" spans="2:9">
      <c r="B642" s="3" t="s">
        <v>20</v>
      </c>
      <c r="C642" s="3">
        <v>8</v>
      </c>
    </row>
    <row r="643" spans="2:9">
      <c r="B643" s="3" t="s">
        <v>177</v>
      </c>
      <c r="C643" s="18">
        <v>2010</v>
      </c>
    </row>
    <row r="644" spans="2:9">
      <c r="B644" s="3" t="s">
        <v>83</v>
      </c>
      <c r="C644" s="18">
        <v>2015</v>
      </c>
    </row>
    <row r="645" spans="2:9">
      <c r="B645" s="3" t="s">
        <v>266</v>
      </c>
      <c r="C645" s="31">
        <v>1.3440000000000001</v>
      </c>
    </row>
    <row r="646" spans="2:9">
      <c r="B646" s="6" t="s">
        <v>7</v>
      </c>
      <c r="C646" s="3"/>
    </row>
    <row r="647" spans="2:9">
      <c r="B647" s="3" t="s">
        <v>82</v>
      </c>
      <c r="C647" s="7">
        <f>C642/C641</f>
        <v>0.53333333333333333</v>
      </c>
    </row>
    <row r="648" spans="2:9">
      <c r="B648" s="3" t="s">
        <v>13</v>
      </c>
      <c r="C648" s="15">
        <f>C640*C645*(1-C647)</f>
        <v>1254400</v>
      </c>
    </row>
    <row r="655" spans="2:9" ht="19.5" thickBot="1"/>
    <row r="656" spans="2:9" ht="56.45" customHeight="1" thickBot="1">
      <c r="B656" s="226" t="s">
        <v>267</v>
      </c>
      <c r="C656" s="227"/>
      <c r="D656" s="227"/>
      <c r="E656" s="227"/>
      <c r="F656" s="227"/>
      <c r="G656" s="227"/>
      <c r="H656" s="227"/>
      <c r="I656" s="228"/>
    </row>
    <row r="659" spans="2:9">
      <c r="B659" s="3" t="s">
        <v>268</v>
      </c>
      <c r="C659" s="9">
        <v>0.75</v>
      </c>
    </row>
    <row r="660" spans="2:9">
      <c r="B660" s="3" t="s">
        <v>269</v>
      </c>
      <c r="C660" s="9">
        <v>0.2</v>
      </c>
    </row>
    <row r="661" spans="2:9">
      <c r="B661" s="6" t="s">
        <v>7</v>
      </c>
      <c r="C661" s="3"/>
    </row>
    <row r="662" spans="2:9">
      <c r="B662" s="3" t="s">
        <v>270</v>
      </c>
      <c r="C662" s="199">
        <f>C659*(1-C660)+0%*C660</f>
        <v>0.60000000000000009</v>
      </c>
      <c r="D662" s="35" t="s">
        <v>878</v>
      </c>
    </row>
    <row r="663" spans="2:9">
      <c r="D663" s="35" t="s">
        <v>922</v>
      </c>
    </row>
    <row r="669" spans="2:9" ht="19.5" thickBot="1"/>
    <row r="670" spans="2:9" ht="93.75" customHeight="1" thickBot="1">
      <c r="B670" s="226" t="s">
        <v>271</v>
      </c>
      <c r="C670" s="227"/>
      <c r="D670" s="227"/>
      <c r="E670" s="227"/>
      <c r="F670" s="227"/>
      <c r="G670" s="227"/>
      <c r="H670" s="227"/>
      <c r="I670" s="228"/>
    </row>
    <row r="673" spans="2:9">
      <c r="B673" s="3"/>
      <c r="C673" s="4" t="s">
        <v>4</v>
      </c>
      <c r="D673" s="4" t="s">
        <v>272</v>
      </c>
      <c r="E673" s="4" t="s">
        <v>273</v>
      </c>
      <c r="F673" s="3"/>
    </row>
    <row r="674" spans="2:9">
      <c r="B674" s="3" t="s">
        <v>274</v>
      </c>
      <c r="C674" s="3"/>
      <c r="D674" s="3">
        <v>4100000</v>
      </c>
      <c r="E674" s="3">
        <v>3400000</v>
      </c>
      <c r="F674" s="3">
        <f>LN(D674/E674)</f>
        <v>0.18721154208814636</v>
      </c>
      <c r="G674" s="35" t="s">
        <v>278</v>
      </c>
    </row>
    <row r="675" spans="2:9">
      <c r="B675" s="3" t="s">
        <v>200</v>
      </c>
      <c r="C675" s="3">
        <v>60000</v>
      </c>
      <c r="D675" s="3">
        <v>50000</v>
      </c>
      <c r="E675" s="3">
        <v>40000</v>
      </c>
      <c r="F675" s="3">
        <f>LN(D675/E675)</f>
        <v>0.22314355131420976</v>
      </c>
      <c r="G675" s="35" t="s">
        <v>279</v>
      </c>
    </row>
    <row r="676" spans="2:9">
      <c r="B676" s="3"/>
      <c r="C676" s="3"/>
      <c r="D676" s="3"/>
      <c r="E676" s="3"/>
      <c r="F676" s="3">
        <f>F674/F675</f>
        <v>0.83897357098405534</v>
      </c>
      <c r="G676" s="35" t="s">
        <v>923</v>
      </c>
    </row>
    <row r="677" spans="2:9">
      <c r="B677" s="3" t="s">
        <v>277</v>
      </c>
      <c r="C677" s="3">
        <f>D674*(C675/D675)^F676</f>
        <v>4777655.4822007399</v>
      </c>
      <c r="D677" s="3">
        <f>E674*(C675/E675)^F676</f>
        <v>4777655.4822007408</v>
      </c>
      <c r="E677" s="3"/>
      <c r="F677" s="3"/>
    </row>
    <row r="678" spans="2:9">
      <c r="B678" s="3" t="s">
        <v>275</v>
      </c>
      <c r="C678" s="9">
        <v>0.32</v>
      </c>
      <c r="D678" s="3"/>
      <c r="E678" s="3"/>
      <c r="F678" s="3"/>
    </row>
    <row r="679" spans="2:9">
      <c r="B679" s="3" t="s">
        <v>275</v>
      </c>
      <c r="C679" s="3">
        <f>C677*C678</f>
        <v>1528849.7543042367</v>
      </c>
      <c r="D679" s="3"/>
      <c r="E679" s="3"/>
      <c r="F679" s="3"/>
    </row>
    <row r="680" spans="2:9">
      <c r="B680" s="3" t="s">
        <v>276</v>
      </c>
      <c r="C680" s="15">
        <f>C677+C679</f>
        <v>6306505.2365049766</v>
      </c>
      <c r="D680" s="3"/>
      <c r="E680" s="3"/>
      <c r="F680" s="3"/>
    </row>
    <row r="687" spans="2:9" ht="19.5" thickBot="1"/>
    <row r="688" spans="2:9" ht="97.5" customHeight="1" thickBot="1">
      <c r="B688" s="226" t="s">
        <v>966</v>
      </c>
      <c r="C688" s="227"/>
      <c r="D688" s="227"/>
      <c r="E688" s="227"/>
      <c r="F688" s="227"/>
      <c r="G688" s="227"/>
      <c r="H688" s="227"/>
      <c r="I688" s="228"/>
    </row>
    <row r="691" spans="2:4">
      <c r="B691" s="3" t="s">
        <v>280</v>
      </c>
      <c r="C691" s="3">
        <v>20000000</v>
      </c>
    </row>
    <row r="692" spans="2:4">
      <c r="B692" s="3" t="s">
        <v>145</v>
      </c>
      <c r="C692" s="9">
        <v>0.05</v>
      </c>
    </row>
    <row r="693" spans="2:4">
      <c r="B693" s="3" t="s">
        <v>281</v>
      </c>
      <c r="C693" s="3">
        <v>80</v>
      </c>
    </row>
    <row r="694" spans="2:4">
      <c r="B694" s="3" t="s">
        <v>282</v>
      </c>
      <c r="C694" s="3">
        <v>500000</v>
      </c>
    </row>
    <row r="695" spans="2:4">
      <c r="B695" s="3" t="s">
        <v>283</v>
      </c>
      <c r="C695" s="3">
        <v>50</v>
      </c>
    </row>
    <row r="696" spans="2:4">
      <c r="B696" s="3" t="s">
        <v>284</v>
      </c>
      <c r="C696" s="3">
        <v>100000</v>
      </c>
    </row>
    <row r="697" spans="2:4">
      <c r="B697" s="3" t="s">
        <v>285</v>
      </c>
      <c r="C697" s="3">
        <v>60</v>
      </c>
    </row>
    <row r="698" spans="2:4">
      <c r="B698" s="3" t="s">
        <v>286</v>
      </c>
      <c r="C698" s="3">
        <v>100000000</v>
      </c>
    </row>
    <row r="699" spans="2:4">
      <c r="B699" s="6" t="s">
        <v>7</v>
      </c>
      <c r="C699" s="3"/>
    </row>
    <row r="700" spans="2:4">
      <c r="B700" s="3" t="s">
        <v>287</v>
      </c>
      <c r="C700" s="10">
        <f>C691*(1+C692)</f>
        <v>21000000</v>
      </c>
    </row>
    <row r="701" spans="2:4">
      <c r="B701" s="3" t="s">
        <v>288</v>
      </c>
      <c r="C701" s="3">
        <f>(C693-C695)*C696</f>
        <v>3000000</v>
      </c>
      <c r="D701" s="35" t="s">
        <v>292</v>
      </c>
    </row>
    <row r="702" spans="2:4">
      <c r="B702" s="3" t="s">
        <v>289</v>
      </c>
      <c r="C702" s="10">
        <f>C694+C701</f>
        <v>3500000</v>
      </c>
      <c r="D702" s="35" t="s">
        <v>293</v>
      </c>
    </row>
    <row r="703" spans="2:4">
      <c r="B703" s="3" t="s">
        <v>290</v>
      </c>
      <c r="C703" s="3">
        <f>C700+C702</f>
        <v>24500000</v>
      </c>
      <c r="D703" s="136"/>
    </row>
    <row r="704" spans="2:4">
      <c r="B704" s="3" t="s">
        <v>291</v>
      </c>
      <c r="C704" s="3">
        <f>C703*C697</f>
        <v>1470000000</v>
      </c>
      <c r="D704" s="35" t="s">
        <v>294</v>
      </c>
    </row>
    <row r="705" spans="2:9">
      <c r="B705" s="3" t="s">
        <v>14</v>
      </c>
      <c r="C705" s="15">
        <f>C704+C698</f>
        <v>1570000000</v>
      </c>
      <c r="D705" s="35" t="s">
        <v>295</v>
      </c>
    </row>
    <row r="712" spans="2:9" ht="19.5" thickBot="1"/>
    <row r="713" spans="2:9" ht="114.6" customHeight="1" thickBot="1">
      <c r="B713" s="226" t="s">
        <v>967</v>
      </c>
      <c r="C713" s="227"/>
      <c r="D713" s="227"/>
      <c r="E713" s="227"/>
      <c r="F713" s="227"/>
      <c r="G713" s="227"/>
      <c r="H713" s="227"/>
      <c r="I713" s="228"/>
    </row>
    <row r="716" spans="2:9">
      <c r="B716" s="3"/>
      <c r="C716" s="4" t="s">
        <v>4</v>
      </c>
      <c r="D716" s="4" t="s">
        <v>5</v>
      </c>
    </row>
    <row r="717" spans="2:9">
      <c r="B717" s="3" t="s">
        <v>10</v>
      </c>
      <c r="C717" s="3">
        <v>1000000</v>
      </c>
      <c r="D717" s="3">
        <v>1000000</v>
      </c>
    </row>
    <row r="718" spans="2:9">
      <c r="B718" s="3" t="s">
        <v>3</v>
      </c>
      <c r="C718" s="3">
        <v>30000</v>
      </c>
      <c r="D718" s="3">
        <v>30000</v>
      </c>
    </row>
    <row r="719" spans="2:9">
      <c r="B719" s="3" t="s">
        <v>6</v>
      </c>
      <c r="C719" s="5">
        <v>2</v>
      </c>
      <c r="D719" s="5">
        <v>4</v>
      </c>
    </row>
    <row r="720" spans="2:9">
      <c r="B720" s="6" t="s">
        <v>7</v>
      </c>
      <c r="C720" s="3"/>
      <c r="D720" s="3"/>
    </row>
    <row r="721" spans="2:9">
      <c r="B721" s="3" t="s">
        <v>8</v>
      </c>
      <c r="C721" s="3">
        <f>0.055*C719+0.003*C718/1000</f>
        <v>0.2</v>
      </c>
      <c r="D721" s="3">
        <f>0.055*D719+0.003*D718/1000</f>
        <v>0.31</v>
      </c>
    </row>
    <row r="722" spans="2:9">
      <c r="B722" s="3" t="s">
        <v>9</v>
      </c>
      <c r="C722" s="7">
        <f>1-EXP(-C721)</f>
        <v>0.18126924692201818</v>
      </c>
      <c r="D722" s="7">
        <f>1-EXP(-D721)</f>
        <v>0.26655304377571076</v>
      </c>
    </row>
    <row r="723" spans="2:9">
      <c r="B723" s="3" t="s">
        <v>11</v>
      </c>
      <c r="C723" s="3">
        <f>C717*C722</f>
        <v>181269.24692201818</v>
      </c>
      <c r="D723" s="3">
        <f>D717*D722</f>
        <v>266553.04377571074</v>
      </c>
    </row>
    <row r="724" spans="2:9">
      <c r="B724" s="3" t="s">
        <v>13</v>
      </c>
      <c r="C724" s="3">
        <f>C717-C723</f>
        <v>818730.75307798176</v>
      </c>
      <c r="D724" s="3">
        <f>D717-D723</f>
        <v>733446.95622428926</v>
      </c>
    </row>
    <row r="725" spans="2:9">
      <c r="B725" s="3" t="s">
        <v>12</v>
      </c>
      <c r="C725" s="3"/>
      <c r="D725" s="15">
        <f>C724-D724</f>
        <v>85283.796853692504</v>
      </c>
    </row>
    <row r="732" spans="2:9" ht="19.5" thickBot="1"/>
    <row r="733" spans="2:9" ht="60" customHeight="1" thickBot="1">
      <c r="B733" s="226" t="s">
        <v>296</v>
      </c>
      <c r="C733" s="227"/>
      <c r="D733" s="227"/>
      <c r="E733" s="227"/>
      <c r="F733" s="227"/>
      <c r="G733" s="227"/>
      <c r="H733" s="227"/>
      <c r="I733" s="228"/>
    </row>
    <row r="736" spans="2:9">
      <c r="B736" s="3" t="s">
        <v>297</v>
      </c>
      <c r="C736" s="3">
        <v>50000</v>
      </c>
    </row>
    <row r="737" spans="2:9">
      <c r="B737" s="3" t="s">
        <v>298</v>
      </c>
      <c r="C737" s="3">
        <v>3000</v>
      </c>
    </row>
    <row r="738" spans="2:9">
      <c r="B738" s="3" t="s">
        <v>299</v>
      </c>
      <c r="C738" s="3">
        <v>60000</v>
      </c>
    </row>
    <row r="739" spans="2:9">
      <c r="B739" s="3" t="s">
        <v>300</v>
      </c>
      <c r="C739" s="3">
        <v>5000</v>
      </c>
    </row>
    <row r="740" spans="2:9">
      <c r="B740" s="3" t="s">
        <v>118</v>
      </c>
      <c r="C740" s="3">
        <v>0.6</v>
      </c>
    </row>
    <row r="741" spans="2:9">
      <c r="B741" s="3" t="s">
        <v>7</v>
      </c>
      <c r="C741" s="3"/>
    </row>
    <row r="742" spans="2:9">
      <c r="B742" s="3" t="s">
        <v>301</v>
      </c>
      <c r="C742" s="3">
        <f>C738*(C737/C739)^C740</f>
        <v>44161.315369069998</v>
      </c>
      <c r="D742" s="35" t="s">
        <v>302</v>
      </c>
    </row>
    <row r="743" spans="2:9">
      <c r="B743" s="3" t="s">
        <v>16</v>
      </c>
      <c r="C743" s="50">
        <f>1-(C742/C736)</f>
        <v>0.11677369261860004</v>
      </c>
      <c r="D743" s="35" t="s">
        <v>303</v>
      </c>
    </row>
    <row r="750" spans="2:9" ht="19.5" thickBot="1"/>
    <row r="751" spans="2:9" ht="18.600000000000001" customHeight="1" thickBot="1">
      <c r="B751" s="226" t="s">
        <v>304</v>
      </c>
      <c r="C751" s="227"/>
      <c r="D751" s="227"/>
      <c r="E751" s="227"/>
      <c r="F751" s="227"/>
      <c r="G751" s="227"/>
      <c r="H751" s="227"/>
      <c r="I751" s="228"/>
    </row>
    <row r="754" spans="2:9">
      <c r="B754" s="3" t="s">
        <v>249</v>
      </c>
      <c r="C754" s="3">
        <v>100000</v>
      </c>
    </row>
    <row r="755" spans="2:9">
      <c r="B755" s="3" t="s">
        <v>82</v>
      </c>
      <c r="C755" s="9">
        <v>0.35</v>
      </c>
    </row>
    <row r="756" spans="2:9">
      <c r="B756" s="6" t="s">
        <v>7</v>
      </c>
      <c r="C756" s="3"/>
    </row>
    <row r="757" spans="2:9">
      <c r="B757" s="3" t="s">
        <v>297</v>
      </c>
      <c r="C757" s="15">
        <f>C754/(1-C755)</f>
        <v>153846.15384615384</v>
      </c>
    </row>
    <row r="764" spans="2:9" ht="19.5" thickBot="1"/>
    <row r="765" spans="2:9" ht="55.5" customHeight="1" thickBot="1">
      <c r="B765" s="226" t="s">
        <v>968</v>
      </c>
      <c r="C765" s="227"/>
      <c r="D765" s="227"/>
      <c r="E765" s="227"/>
      <c r="F765" s="227"/>
      <c r="G765" s="227"/>
      <c r="H765" s="227"/>
      <c r="I765" s="228"/>
    </row>
    <row r="768" spans="2:9" ht="19.5" thickBot="1">
      <c r="C768" s="32" t="s">
        <v>4</v>
      </c>
      <c r="D768" s="33" t="s">
        <v>5</v>
      </c>
      <c r="E768" s="1" t="s">
        <v>12</v>
      </c>
    </row>
    <row r="769" spans="2:9">
      <c r="B769" s="1" t="s">
        <v>305</v>
      </c>
      <c r="C769" s="34">
        <v>1</v>
      </c>
      <c r="D769" s="29">
        <f>C769+25%</f>
        <v>1.25</v>
      </c>
      <c r="E769" s="11">
        <f>C769/D769</f>
        <v>0.8</v>
      </c>
    </row>
    <row r="770" spans="2:9">
      <c r="E770" s="139">
        <f>E769-1</f>
        <v>-0.19999999999999996</v>
      </c>
      <c r="F770" s="35" t="s">
        <v>969</v>
      </c>
    </row>
    <row r="776" spans="2:9" ht="19.5" thickBot="1"/>
    <row r="777" spans="2:9" ht="57" customHeight="1" thickBot="1">
      <c r="B777" s="226" t="s">
        <v>306</v>
      </c>
      <c r="C777" s="227"/>
      <c r="D777" s="227"/>
      <c r="E777" s="227"/>
      <c r="F777" s="227"/>
      <c r="G777" s="227"/>
      <c r="H777" s="227"/>
      <c r="I777" s="228"/>
    </row>
    <row r="780" spans="2:9">
      <c r="B780" s="3" t="s">
        <v>307</v>
      </c>
      <c r="C780" s="3">
        <v>10000000</v>
      </c>
    </row>
    <row r="781" spans="2:9">
      <c r="B781" s="3" t="s">
        <v>308</v>
      </c>
      <c r="C781" s="3">
        <v>2000000</v>
      </c>
    </row>
    <row r="782" spans="2:9">
      <c r="B782" s="3" t="s">
        <v>309</v>
      </c>
      <c r="C782" s="3">
        <v>1000000</v>
      </c>
    </row>
    <row r="783" spans="2:9">
      <c r="B783" s="6" t="s">
        <v>7</v>
      </c>
      <c r="C783" s="3"/>
    </row>
    <row r="784" spans="2:9">
      <c r="B784" s="3" t="s">
        <v>14</v>
      </c>
      <c r="C784" s="15">
        <f>C780+C781+C782</f>
        <v>13000000</v>
      </c>
      <c r="D784" s="24" t="s">
        <v>310</v>
      </c>
    </row>
    <row r="791" spans="2:9" ht="19.5" thickBot="1"/>
    <row r="792" spans="2:9" ht="101.25" customHeight="1" thickBot="1">
      <c r="B792" s="226" t="s">
        <v>311</v>
      </c>
      <c r="C792" s="227"/>
      <c r="D792" s="227"/>
      <c r="E792" s="227"/>
      <c r="F792" s="227"/>
      <c r="G792" s="227"/>
      <c r="H792" s="227"/>
      <c r="I792" s="228"/>
    </row>
    <row r="795" spans="2:9">
      <c r="B795" s="3" t="s">
        <v>14</v>
      </c>
      <c r="C795" s="3">
        <v>2000000</v>
      </c>
    </row>
    <row r="796" spans="2:9">
      <c r="B796" s="3" t="s">
        <v>177</v>
      </c>
      <c r="C796" s="18">
        <v>2007</v>
      </c>
    </row>
    <row r="797" spans="2:9">
      <c r="B797" s="3" t="s">
        <v>83</v>
      </c>
      <c r="C797" s="18">
        <v>2017</v>
      </c>
    </row>
    <row r="798" spans="2:9">
      <c r="B798" s="3" t="s">
        <v>265</v>
      </c>
      <c r="C798" s="18">
        <v>20</v>
      </c>
    </row>
    <row r="799" spans="2:9">
      <c r="B799" s="3" t="s">
        <v>15</v>
      </c>
      <c r="C799" s="9">
        <v>0.9</v>
      </c>
    </row>
    <row r="800" spans="2:9">
      <c r="B800" s="3" t="s">
        <v>312</v>
      </c>
      <c r="C800" s="3">
        <v>1500000</v>
      </c>
    </row>
    <row r="801" spans="2:9">
      <c r="B801" s="3" t="s">
        <v>98</v>
      </c>
      <c r="C801" s="3">
        <v>300000</v>
      </c>
    </row>
    <row r="802" spans="2:9">
      <c r="B802" s="6" t="s">
        <v>7</v>
      </c>
      <c r="C802" s="3"/>
    </row>
    <row r="803" spans="2:9">
      <c r="B803" s="3" t="s">
        <v>125</v>
      </c>
      <c r="C803" s="3">
        <f>C800+C801</f>
        <v>1800000</v>
      </c>
      <c r="D803" s="35" t="s">
        <v>313</v>
      </c>
    </row>
    <row r="804" spans="2:9">
      <c r="B804" s="3" t="s">
        <v>13</v>
      </c>
      <c r="C804" s="15">
        <f>C803*(1-C799)</f>
        <v>179999.99999999997</v>
      </c>
    </row>
    <row r="811" spans="2:9" ht="19.5" thickBot="1"/>
    <row r="812" spans="2:9" ht="40.5" customHeight="1" thickBot="1">
      <c r="B812" s="226" t="s">
        <v>314</v>
      </c>
      <c r="C812" s="227"/>
      <c r="D812" s="227"/>
      <c r="E812" s="227"/>
      <c r="F812" s="227"/>
      <c r="G812" s="227"/>
      <c r="H812" s="227"/>
      <c r="I812" s="228"/>
    </row>
    <row r="815" spans="2:9">
      <c r="B815" s="3" t="s">
        <v>297</v>
      </c>
      <c r="C815" s="3">
        <v>300000</v>
      </c>
    </row>
    <row r="816" spans="2:9">
      <c r="B816" s="3" t="s">
        <v>227</v>
      </c>
      <c r="C816" s="18">
        <v>2014</v>
      </c>
    </row>
    <row r="817" spans="2:9">
      <c r="B817" s="3" t="s">
        <v>83</v>
      </c>
      <c r="C817" s="18">
        <v>2017</v>
      </c>
    </row>
    <row r="818" spans="2:9">
      <c r="B818" s="3" t="s">
        <v>20</v>
      </c>
      <c r="C818" s="3">
        <v>8</v>
      </c>
    </row>
    <row r="819" spans="2:9">
      <c r="B819" s="3" t="s">
        <v>315</v>
      </c>
      <c r="C819" s="3">
        <v>5</v>
      </c>
    </row>
    <row r="820" spans="2:9">
      <c r="B820" s="3" t="s">
        <v>16</v>
      </c>
      <c r="C820" s="9">
        <v>0.2</v>
      </c>
    </row>
    <row r="821" spans="2:9">
      <c r="B821" s="6" t="s">
        <v>7</v>
      </c>
      <c r="C821" s="3"/>
    </row>
    <row r="822" spans="2:9">
      <c r="B822" s="3" t="s">
        <v>316</v>
      </c>
      <c r="C822" s="3">
        <f>C818+C819</f>
        <v>13</v>
      </c>
    </row>
    <row r="823" spans="2:9">
      <c r="B823" s="3" t="s">
        <v>82</v>
      </c>
      <c r="C823" s="7">
        <f>C818/C822</f>
        <v>0.61538461538461542</v>
      </c>
    </row>
    <row r="824" spans="2:9">
      <c r="B824" s="3" t="s">
        <v>13</v>
      </c>
      <c r="C824" s="15">
        <f>C815*(1-C823)*(1-C820)</f>
        <v>92307.692307692312</v>
      </c>
    </row>
    <row r="831" spans="2:9" ht="19.5" thickBot="1"/>
    <row r="832" spans="2:9" ht="75" customHeight="1" thickBot="1">
      <c r="B832" s="226" t="s">
        <v>970</v>
      </c>
      <c r="C832" s="227"/>
      <c r="D832" s="227"/>
      <c r="E832" s="227"/>
      <c r="F832" s="227"/>
      <c r="G832" s="227"/>
      <c r="H832" s="227"/>
      <c r="I832" s="228"/>
    </row>
    <row r="835" spans="2:4">
      <c r="B835" s="3" t="s">
        <v>307</v>
      </c>
      <c r="C835" s="3">
        <v>30000000</v>
      </c>
    </row>
    <row r="836" spans="2:4">
      <c r="B836" s="3" t="s">
        <v>317</v>
      </c>
      <c r="C836" s="3">
        <v>800000</v>
      </c>
    </row>
    <row r="837" spans="2:4">
      <c r="B837" s="3" t="s">
        <v>177</v>
      </c>
      <c r="C837" s="18">
        <v>2012</v>
      </c>
    </row>
    <row r="838" spans="2:4">
      <c r="B838" s="3" t="s">
        <v>83</v>
      </c>
      <c r="C838" s="18">
        <v>2017</v>
      </c>
    </row>
    <row r="839" spans="2:4">
      <c r="B839" s="3" t="s">
        <v>318</v>
      </c>
      <c r="C839" s="3">
        <v>23.5</v>
      </c>
    </row>
    <row r="840" spans="2:4">
      <c r="B840" s="3" t="s">
        <v>319</v>
      </c>
      <c r="C840" s="3">
        <v>60</v>
      </c>
    </row>
    <row r="841" spans="2:4">
      <c r="B841" s="3" t="s">
        <v>197</v>
      </c>
      <c r="C841" s="3">
        <v>5</v>
      </c>
    </row>
    <row r="842" spans="2:4">
      <c r="B842" s="3" t="s">
        <v>320</v>
      </c>
      <c r="C842" s="3">
        <v>1.75</v>
      </c>
    </row>
    <row r="843" spans="2:4">
      <c r="B843" s="6" t="s">
        <v>7</v>
      </c>
      <c r="C843" s="3"/>
    </row>
    <row r="844" spans="2:4">
      <c r="B844" s="3" t="s">
        <v>69</v>
      </c>
      <c r="C844" s="3">
        <f>C835/C839</f>
        <v>1276595.744680851</v>
      </c>
      <c r="D844" s="35" t="s">
        <v>972</v>
      </c>
    </row>
    <row r="845" spans="2:4">
      <c r="B845" s="3" t="s">
        <v>321</v>
      </c>
      <c r="C845" s="3">
        <f>C844*C842</f>
        <v>2234042.5531914891</v>
      </c>
      <c r="D845" s="35" t="s">
        <v>973</v>
      </c>
    </row>
    <row r="846" spans="2:4">
      <c r="B846" s="3" t="s">
        <v>322</v>
      </c>
      <c r="C846" s="3">
        <f>C845*C840</f>
        <v>134042553.19148934</v>
      </c>
      <c r="D846" s="35" t="s">
        <v>974</v>
      </c>
    </row>
    <row r="847" spans="2:4">
      <c r="B847" s="3" t="s">
        <v>323</v>
      </c>
      <c r="C847" s="3">
        <f>C836*C841</f>
        <v>4000000</v>
      </c>
      <c r="D847" s="35" t="s">
        <v>975</v>
      </c>
    </row>
    <row r="848" spans="2:4">
      <c r="B848" s="3" t="s">
        <v>262</v>
      </c>
      <c r="C848" s="15">
        <f>C846+C847</f>
        <v>138042553.19148934</v>
      </c>
    </row>
    <row r="855" spans="2:9" ht="19.5" thickBot="1"/>
    <row r="856" spans="2:9" ht="60" customHeight="1" thickBot="1">
      <c r="B856" s="226" t="s">
        <v>326</v>
      </c>
      <c r="C856" s="227"/>
      <c r="D856" s="227"/>
      <c r="E856" s="227"/>
      <c r="F856" s="227"/>
      <c r="G856" s="227"/>
      <c r="H856" s="227"/>
      <c r="I856" s="228"/>
    </row>
    <row r="859" spans="2:9">
      <c r="B859" s="3" t="s">
        <v>325</v>
      </c>
      <c r="C859" s="3">
        <v>1000000000</v>
      </c>
    </row>
    <row r="860" spans="2:9">
      <c r="B860" s="3" t="s">
        <v>324</v>
      </c>
      <c r="C860" s="3">
        <v>350000000</v>
      </c>
    </row>
    <row r="861" spans="2:9">
      <c r="B861" s="3" t="s">
        <v>329</v>
      </c>
      <c r="C861" s="3">
        <v>250000000</v>
      </c>
    </row>
    <row r="862" spans="2:9">
      <c r="B862" s="3" t="s">
        <v>330</v>
      </c>
      <c r="C862" s="3">
        <v>350000000</v>
      </c>
    </row>
    <row r="863" spans="2:9">
      <c r="B863" s="3" t="s">
        <v>98</v>
      </c>
      <c r="C863" s="9">
        <v>0.6</v>
      </c>
    </row>
    <row r="864" spans="2:9">
      <c r="B864" s="6" t="s">
        <v>7</v>
      </c>
      <c r="C864" s="3"/>
    </row>
    <row r="865" spans="2:9">
      <c r="B865" s="3" t="s">
        <v>327</v>
      </c>
      <c r="C865" s="3">
        <f>C861*C863</f>
        <v>150000000</v>
      </c>
    </row>
    <row r="866" spans="2:9">
      <c r="B866" s="3" t="s">
        <v>328</v>
      </c>
      <c r="C866" s="3">
        <f>C862*C863</f>
        <v>210000000</v>
      </c>
    </row>
    <row r="867" spans="2:9">
      <c r="B867" s="3" t="s">
        <v>331</v>
      </c>
      <c r="C867" s="3">
        <f>C861+C862+C865+C866</f>
        <v>960000000</v>
      </c>
    </row>
    <row r="868" spans="2:9">
      <c r="B868" s="3" t="s">
        <v>333</v>
      </c>
      <c r="C868" s="3">
        <f>C859-C860</f>
        <v>650000000</v>
      </c>
      <c r="D868" s="24" t="s">
        <v>332</v>
      </c>
    </row>
    <row r="869" spans="2:9">
      <c r="B869" s="3" t="s">
        <v>126</v>
      </c>
      <c r="C869" s="15">
        <f>C867-C868</f>
        <v>310000000</v>
      </c>
    </row>
    <row r="870" spans="2:9">
      <c r="B870" s="3" t="s">
        <v>126</v>
      </c>
      <c r="C870" s="50">
        <f>C869/C867</f>
        <v>0.32291666666666669</v>
      </c>
    </row>
    <row r="877" spans="2:9" ht="19.5" thickBot="1"/>
    <row r="878" spans="2:9" ht="58.5" customHeight="1" thickBot="1">
      <c r="B878" s="226" t="s">
        <v>976</v>
      </c>
      <c r="C878" s="227"/>
      <c r="D878" s="227"/>
      <c r="E878" s="227"/>
      <c r="F878" s="227"/>
      <c r="G878" s="227"/>
      <c r="H878" s="227"/>
      <c r="I878" s="228"/>
    </row>
    <row r="881" spans="2:4">
      <c r="B881" s="3" t="s">
        <v>334</v>
      </c>
      <c r="C881" s="3">
        <v>450000</v>
      </c>
    </row>
    <row r="882" spans="2:4">
      <c r="B882" s="3" t="s">
        <v>335</v>
      </c>
      <c r="C882" s="3">
        <v>1.92</v>
      </c>
    </row>
    <row r="883" spans="2:4">
      <c r="B883" s="3" t="s">
        <v>336</v>
      </c>
      <c r="C883" s="3">
        <v>2.92</v>
      </c>
    </row>
    <row r="884" spans="2:4">
      <c r="B884" s="3" t="s">
        <v>337</v>
      </c>
      <c r="C884" s="9">
        <v>0.3</v>
      </c>
      <c r="D884" s="35" t="s">
        <v>978</v>
      </c>
    </row>
    <row r="885" spans="2:4">
      <c r="B885" s="3" t="s">
        <v>338</v>
      </c>
      <c r="C885" s="9">
        <v>0.05</v>
      </c>
      <c r="D885" s="35" t="s">
        <v>341</v>
      </c>
    </row>
    <row r="886" spans="2:4">
      <c r="B886" s="3" t="s">
        <v>339</v>
      </c>
      <c r="C886" s="3">
        <v>32.049999999999997</v>
      </c>
    </row>
    <row r="887" spans="2:4">
      <c r="B887" s="3" t="s">
        <v>340</v>
      </c>
      <c r="C887" s="3">
        <v>68.12</v>
      </c>
    </row>
    <row r="888" spans="2:4">
      <c r="B888" s="6" t="s">
        <v>7</v>
      </c>
      <c r="C888" s="3"/>
    </row>
    <row r="889" spans="2:4">
      <c r="B889" s="3" t="s">
        <v>266</v>
      </c>
      <c r="C889" s="3">
        <f>C883/C882</f>
        <v>1.5208333333333333</v>
      </c>
    </row>
    <row r="890" spans="2:4">
      <c r="B890" s="3" t="s">
        <v>342</v>
      </c>
      <c r="C890" s="15">
        <f>C881*C889*(1+C884)*C887</f>
        <v>60605512.500000007</v>
      </c>
      <c r="D890" s="35" t="s">
        <v>977</v>
      </c>
    </row>
    <row r="897" spans="2:9" ht="19.5" thickBot="1"/>
    <row r="898" spans="2:9" ht="60" customHeight="1" thickBot="1">
      <c r="B898" s="226" t="s">
        <v>979</v>
      </c>
      <c r="C898" s="227"/>
      <c r="D898" s="227"/>
      <c r="E898" s="227"/>
      <c r="F898" s="227"/>
      <c r="G898" s="227"/>
      <c r="H898" s="227"/>
      <c r="I898" s="228"/>
    </row>
    <row r="901" spans="2:9">
      <c r="B901" s="3" t="s">
        <v>343</v>
      </c>
      <c r="C901" s="3">
        <v>100000</v>
      </c>
    </row>
    <row r="902" spans="2:9">
      <c r="B902" s="3" t="s">
        <v>227</v>
      </c>
      <c r="C902" s="36">
        <v>42401</v>
      </c>
    </row>
    <row r="903" spans="2:9">
      <c r="B903" s="3" t="s">
        <v>150</v>
      </c>
      <c r="C903" s="36">
        <v>42461</v>
      </c>
    </row>
    <row r="904" spans="2:9">
      <c r="B904" s="3" t="s">
        <v>83</v>
      </c>
      <c r="C904" s="36">
        <v>42795</v>
      </c>
    </row>
    <row r="905" spans="2:9">
      <c r="B905" s="3" t="s">
        <v>344</v>
      </c>
      <c r="C905" s="3">
        <v>60</v>
      </c>
    </row>
    <row r="906" spans="2:9">
      <c r="B906" s="3" t="s">
        <v>345</v>
      </c>
      <c r="C906" s="9">
        <v>0.1</v>
      </c>
    </row>
    <row r="907" spans="2:9">
      <c r="B907" s="3" t="s">
        <v>346</v>
      </c>
      <c r="C907" s="9">
        <v>0.01</v>
      </c>
    </row>
    <row r="908" spans="2:9">
      <c r="B908" s="6" t="s">
        <v>7</v>
      </c>
      <c r="C908" s="3"/>
      <c r="D908" s="35" t="s">
        <v>890</v>
      </c>
    </row>
    <row r="909" spans="2:9">
      <c r="B909" s="3" t="s">
        <v>347</v>
      </c>
      <c r="C909" s="3">
        <f>DATEDIF(C902,C904,"m")</f>
        <v>13</v>
      </c>
      <c r="D909" s="35" t="s">
        <v>879</v>
      </c>
    </row>
    <row r="910" spans="2:9">
      <c r="B910" s="3" t="s">
        <v>348</v>
      </c>
      <c r="C910" s="3">
        <f>DATEDIF(C903,C904,"m")</f>
        <v>11</v>
      </c>
      <c r="D910" s="35" t="s">
        <v>879</v>
      </c>
    </row>
    <row r="911" spans="2:9">
      <c r="B911" s="3" t="s">
        <v>196</v>
      </c>
      <c r="C911" s="3">
        <f>(1+C907)^C909</f>
        <v>1.1380932804332895</v>
      </c>
      <c r="D911" s="35" t="s">
        <v>350</v>
      </c>
    </row>
    <row r="912" spans="2:9">
      <c r="B912" s="3" t="s">
        <v>349</v>
      </c>
      <c r="C912" s="3">
        <f>C901*C911</f>
        <v>113809.32804332895</v>
      </c>
    </row>
    <row r="913" spans="2:4">
      <c r="B913" s="3" t="s">
        <v>98</v>
      </c>
      <c r="C913" s="3">
        <f>C912*C906</f>
        <v>11380.932804332895</v>
      </c>
      <c r="D913" s="35" t="s">
        <v>352</v>
      </c>
    </row>
    <row r="914" spans="2:4">
      <c r="B914" s="3" t="s">
        <v>14</v>
      </c>
      <c r="C914" s="3">
        <f>C912+C913</f>
        <v>125190.26084766185</v>
      </c>
    </row>
    <row r="915" spans="2:4">
      <c r="B915" s="3" t="s">
        <v>82</v>
      </c>
      <c r="C915" s="7">
        <f>C910/C905</f>
        <v>0.18333333333333332</v>
      </c>
      <c r="D915" s="35" t="s">
        <v>351</v>
      </c>
    </row>
    <row r="916" spans="2:4">
      <c r="B916" s="3" t="s">
        <v>13</v>
      </c>
      <c r="C916" s="15">
        <f>C914*(1-C915)</f>
        <v>102238.71302559051</v>
      </c>
    </row>
    <row r="918" spans="2:4">
      <c r="B918" s="24" t="s">
        <v>885</v>
      </c>
      <c r="C918" s="24" t="s">
        <v>886</v>
      </c>
    </row>
    <row r="919" spans="2:4">
      <c r="B919" s="24"/>
      <c r="C919" s="24" t="s">
        <v>889</v>
      </c>
    </row>
    <row r="920" spans="2:4">
      <c r="B920" s="24"/>
      <c r="C920" s="24" t="s">
        <v>887</v>
      </c>
    </row>
    <row r="921" spans="2:4">
      <c r="B921" s="24"/>
      <c r="C921" s="24" t="s">
        <v>888</v>
      </c>
    </row>
    <row r="928" spans="2:4" ht="19.5" thickBot="1"/>
    <row r="929" spans="2:9" ht="79.150000000000006" customHeight="1" thickBot="1">
      <c r="B929" s="226" t="s">
        <v>980</v>
      </c>
      <c r="C929" s="227"/>
      <c r="D929" s="227"/>
      <c r="E929" s="227"/>
      <c r="F929" s="227"/>
      <c r="G929" s="227"/>
      <c r="H929" s="227"/>
      <c r="I929" s="228"/>
    </row>
    <row r="932" spans="2:9">
      <c r="B932" s="3" t="s">
        <v>356</v>
      </c>
      <c r="C932" s="3">
        <v>200000</v>
      </c>
    </row>
    <row r="933" spans="2:9">
      <c r="B933" s="3" t="s">
        <v>353</v>
      </c>
      <c r="C933" s="30">
        <v>1.2589999999999999</v>
      </c>
    </row>
    <row r="934" spans="2:9">
      <c r="B934" s="3" t="s">
        <v>336</v>
      </c>
      <c r="C934" s="30">
        <v>1.3580000000000001</v>
      </c>
    </row>
    <row r="935" spans="2:9">
      <c r="B935" s="3" t="s">
        <v>354</v>
      </c>
      <c r="C935" s="9">
        <v>0.1</v>
      </c>
    </row>
    <row r="936" spans="2:9">
      <c r="B936" s="3" t="s">
        <v>355</v>
      </c>
      <c r="C936" s="9">
        <v>0.05</v>
      </c>
      <c r="D936" s="35" t="s">
        <v>981</v>
      </c>
    </row>
    <row r="937" spans="2:9">
      <c r="B937" s="3" t="s">
        <v>357</v>
      </c>
      <c r="C937" s="3">
        <v>30</v>
      </c>
      <c r="D937" s="35" t="s">
        <v>76</v>
      </c>
    </row>
    <row r="938" spans="2:9">
      <c r="B938" s="3" t="s">
        <v>358</v>
      </c>
      <c r="C938" s="3">
        <v>65</v>
      </c>
    </row>
    <row r="939" spans="2:9">
      <c r="B939" s="6" t="s">
        <v>7</v>
      </c>
      <c r="C939" s="3"/>
    </row>
    <row r="940" spans="2:9">
      <c r="B940" s="3" t="s">
        <v>266</v>
      </c>
      <c r="C940" s="3">
        <f>C934/C933</f>
        <v>1.0786338363780781</v>
      </c>
    </row>
    <row r="941" spans="2:9">
      <c r="B941" s="3" t="s">
        <v>342</v>
      </c>
      <c r="C941" s="15">
        <f>C932*C940*(1+C935)*C938</f>
        <v>15424463.860206518</v>
      </c>
    </row>
    <row r="948" spans="2:9" ht="19.5" thickBot="1"/>
    <row r="949" spans="2:9" ht="53.25" customHeight="1" thickBot="1">
      <c r="B949" s="226" t="s">
        <v>359</v>
      </c>
      <c r="C949" s="227"/>
      <c r="D949" s="227"/>
      <c r="E949" s="227"/>
      <c r="F949" s="227"/>
      <c r="G949" s="227"/>
      <c r="H949" s="227"/>
      <c r="I949" s="228"/>
    </row>
    <row r="952" spans="2:9">
      <c r="B952" s="3" t="s">
        <v>34</v>
      </c>
      <c r="C952" s="37">
        <v>15</v>
      </c>
    </row>
    <row r="953" spans="2:9">
      <c r="B953" s="3" t="s">
        <v>360</v>
      </c>
      <c r="C953" s="37">
        <v>10</v>
      </c>
    </row>
    <row r="954" spans="2:9">
      <c r="B954" s="3" t="s">
        <v>361</v>
      </c>
      <c r="C954" s="3">
        <v>1</v>
      </c>
    </row>
    <row r="955" spans="2:9">
      <c r="B955" s="3" t="s">
        <v>270</v>
      </c>
      <c r="C955" s="9">
        <v>0.25</v>
      </c>
    </row>
    <row r="956" spans="2:9">
      <c r="B956" s="6" t="s">
        <v>7</v>
      </c>
      <c r="C956" s="3"/>
    </row>
    <row r="957" spans="2:9">
      <c r="B957" s="3" t="s">
        <v>364</v>
      </c>
      <c r="C957" s="3">
        <f>C955*C952</f>
        <v>3.75</v>
      </c>
      <c r="D957" s="35" t="s">
        <v>365</v>
      </c>
    </row>
    <row r="958" spans="2:9">
      <c r="B958" s="3" t="s">
        <v>360</v>
      </c>
      <c r="C958" s="3">
        <f>C957+C954</f>
        <v>4.75</v>
      </c>
      <c r="D958" s="35" t="s">
        <v>366</v>
      </c>
    </row>
    <row r="959" spans="2:9">
      <c r="B959" s="3" t="s">
        <v>82</v>
      </c>
      <c r="C959" s="50">
        <f>C958/C952</f>
        <v>0.31666666666666665</v>
      </c>
    </row>
    <row r="960" spans="2:9">
      <c r="B960" s="28" t="s">
        <v>363</v>
      </c>
      <c r="C960" s="3"/>
    </row>
    <row r="961" spans="2:9">
      <c r="B961" s="3" t="s">
        <v>362</v>
      </c>
      <c r="C961" s="7">
        <f>100%/C952</f>
        <v>6.6666666666666666E-2</v>
      </c>
    </row>
    <row r="962" spans="2:9">
      <c r="B962" s="3" t="s">
        <v>82</v>
      </c>
      <c r="C962" s="50">
        <f>C955+C961</f>
        <v>0.31666666666666665</v>
      </c>
    </row>
    <row r="969" spans="2:9" ht="19.5" thickBot="1"/>
    <row r="970" spans="2:9" ht="55.9" customHeight="1" thickBot="1">
      <c r="B970" s="226" t="s">
        <v>367</v>
      </c>
      <c r="C970" s="227"/>
      <c r="D970" s="227"/>
      <c r="E970" s="227"/>
      <c r="F970" s="227"/>
      <c r="G970" s="227"/>
      <c r="H970" s="227"/>
      <c r="I970" s="228"/>
    </row>
    <row r="973" spans="2:9">
      <c r="B973" s="3" t="s">
        <v>150</v>
      </c>
      <c r="C973" s="18">
        <v>2000</v>
      </c>
    </row>
    <row r="974" spans="2:9">
      <c r="B974" s="3" t="s">
        <v>83</v>
      </c>
      <c r="C974" s="18">
        <v>2017</v>
      </c>
    </row>
    <row r="975" spans="2:9">
      <c r="B975" s="3" t="s">
        <v>6</v>
      </c>
      <c r="C975" s="3">
        <v>25</v>
      </c>
    </row>
    <row r="976" spans="2:9">
      <c r="B976" s="3" t="s">
        <v>54</v>
      </c>
      <c r="C976" s="3">
        <v>10</v>
      </c>
    </row>
    <row r="977" spans="2:9">
      <c r="B977" s="6" t="s">
        <v>7</v>
      </c>
      <c r="C977" s="3"/>
    </row>
    <row r="978" spans="2:9">
      <c r="B978" s="3" t="s">
        <v>205</v>
      </c>
      <c r="C978" s="15">
        <f>C975-C976</f>
        <v>15</v>
      </c>
    </row>
    <row r="985" spans="2:9" ht="19.5" thickBot="1"/>
    <row r="986" spans="2:9" ht="77.25" customHeight="1" thickBot="1">
      <c r="B986" s="226" t="s">
        <v>368</v>
      </c>
      <c r="C986" s="227"/>
      <c r="D986" s="227"/>
      <c r="E986" s="227"/>
      <c r="F986" s="227"/>
      <c r="G986" s="227"/>
      <c r="H986" s="227"/>
      <c r="I986" s="228"/>
    </row>
    <row r="989" spans="2:9">
      <c r="B989" s="3" t="s">
        <v>177</v>
      </c>
      <c r="C989" s="18">
        <v>2010</v>
      </c>
    </row>
    <row r="990" spans="2:9">
      <c r="B990" s="3" t="s">
        <v>83</v>
      </c>
      <c r="C990" s="18">
        <v>2017</v>
      </c>
    </row>
    <row r="991" spans="2:9">
      <c r="B991" s="3" t="s">
        <v>372</v>
      </c>
      <c r="C991" s="3">
        <v>250000</v>
      </c>
    </row>
    <row r="992" spans="2:9">
      <c r="B992" s="3" t="s">
        <v>369</v>
      </c>
      <c r="C992" s="3">
        <v>400000</v>
      </c>
      <c r="D992" s="35" t="s">
        <v>374</v>
      </c>
    </row>
    <row r="993" spans="2:9">
      <c r="B993" s="3" t="s">
        <v>370</v>
      </c>
      <c r="C993" s="3">
        <v>150000</v>
      </c>
      <c r="D993" s="35" t="s">
        <v>374</v>
      </c>
    </row>
    <row r="994" spans="2:9">
      <c r="B994" s="3" t="s">
        <v>371</v>
      </c>
      <c r="C994" s="9">
        <v>0.55000000000000004</v>
      </c>
    </row>
    <row r="995" spans="2:9">
      <c r="B995" s="3" t="s">
        <v>373</v>
      </c>
      <c r="C995" s="3">
        <v>1.4</v>
      </c>
    </row>
    <row r="996" spans="2:9">
      <c r="B996" s="6" t="s">
        <v>7</v>
      </c>
      <c r="C996" s="3"/>
    </row>
    <row r="997" spans="2:9">
      <c r="B997" s="3" t="s">
        <v>14</v>
      </c>
      <c r="C997" s="3">
        <f>C991*C995</f>
        <v>350000</v>
      </c>
    </row>
    <row r="998" spans="2:9">
      <c r="B998" s="3" t="s">
        <v>13</v>
      </c>
      <c r="C998" s="15">
        <f>C997*(1-C994)</f>
        <v>157499.99999999997</v>
      </c>
    </row>
    <row r="1005" spans="2:9" ht="19.5" thickBot="1"/>
    <row r="1006" spans="2:9" ht="60" customHeight="1" thickBot="1">
      <c r="B1006" s="226" t="s">
        <v>375</v>
      </c>
      <c r="C1006" s="227"/>
      <c r="D1006" s="227"/>
      <c r="E1006" s="227"/>
      <c r="F1006" s="227"/>
      <c r="G1006" s="227"/>
      <c r="H1006" s="227"/>
      <c r="I1006" s="228"/>
    </row>
    <row r="1009" spans="2:9">
      <c r="B1009" s="3" t="s">
        <v>376</v>
      </c>
      <c r="C1009" s="3">
        <v>206</v>
      </c>
    </row>
    <row r="1010" spans="2:9">
      <c r="B1010" s="3" t="s">
        <v>377</v>
      </c>
      <c r="C1010" s="3">
        <v>215</v>
      </c>
    </row>
    <row r="1011" spans="2:9">
      <c r="B1011" s="3" t="s">
        <v>380</v>
      </c>
      <c r="C1011" s="3">
        <v>35</v>
      </c>
    </row>
    <row r="1012" spans="2:9">
      <c r="B1012" s="3" t="s">
        <v>381</v>
      </c>
      <c r="C1012" s="3">
        <v>60</v>
      </c>
    </row>
    <row r="1013" spans="2:9">
      <c r="B1013" s="6" t="s">
        <v>7</v>
      </c>
      <c r="C1013" s="3"/>
    </row>
    <row r="1014" spans="2:9">
      <c r="B1014" s="3" t="s">
        <v>378</v>
      </c>
      <c r="C1014" s="30">
        <f>C1010/C1009</f>
        <v>1.0436893203883495</v>
      </c>
    </row>
    <row r="1015" spans="2:9">
      <c r="B1015" s="3" t="s">
        <v>379</v>
      </c>
      <c r="C1015" s="30">
        <f>C1012/C1011</f>
        <v>1.7142857142857142</v>
      </c>
    </row>
    <row r="1016" spans="2:9">
      <c r="B1016" s="3" t="s">
        <v>382</v>
      </c>
      <c r="C1016" s="162">
        <f>C1014*C1015</f>
        <v>1.7891816920943133</v>
      </c>
    </row>
    <row r="1023" spans="2:9" ht="19.5" thickBot="1"/>
    <row r="1024" spans="2:9" ht="40.5" customHeight="1" thickBot="1">
      <c r="B1024" s="226" t="s">
        <v>383</v>
      </c>
      <c r="C1024" s="227"/>
      <c r="D1024" s="227"/>
      <c r="E1024" s="227"/>
      <c r="F1024" s="227"/>
      <c r="G1024" s="227"/>
      <c r="H1024" s="227"/>
      <c r="I1024" s="228"/>
    </row>
    <row r="1027" spans="2:4">
      <c r="B1027" s="3" t="s">
        <v>384</v>
      </c>
      <c r="C1027" s="3">
        <v>1.1499999999999999</v>
      </c>
      <c r="D1027" s="35" t="s">
        <v>390</v>
      </c>
    </row>
    <row r="1028" spans="2:4">
      <c r="B1028" s="3" t="s">
        <v>385</v>
      </c>
      <c r="C1028" s="3">
        <v>1.1200000000000001</v>
      </c>
      <c r="D1028" s="136"/>
    </row>
    <row r="1029" spans="2:4">
      <c r="B1029" s="3" t="s">
        <v>386</v>
      </c>
      <c r="C1029" s="3">
        <v>1.0900000000000001</v>
      </c>
      <c r="D1029" s="136"/>
    </row>
    <row r="1030" spans="2:4">
      <c r="B1030" s="3" t="s">
        <v>387</v>
      </c>
      <c r="C1030" s="3">
        <v>1.1200000000000001</v>
      </c>
      <c r="D1030" s="136"/>
    </row>
    <row r="1031" spans="2:4">
      <c r="B1031" s="3" t="s">
        <v>388</v>
      </c>
      <c r="C1031" s="3">
        <v>1.08</v>
      </c>
      <c r="D1031" s="35" t="s">
        <v>76</v>
      </c>
    </row>
    <row r="1032" spans="2:4">
      <c r="B1032" s="3" t="s">
        <v>7</v>
      </c>
      <c r="C1032" s="3"/>
    </row>
    <row r="1033" spans="2:4">
      <c r="B1033" s="3" t="s">
        <v>389</v>
      </c>
      <c r="C1033" s="162">
        <f>C1028*C1029*C1030</f>
        <v>1.3672960000000003</v>
      </c>
    </row>
    <row r="1040" spans="2:4" ht="19.5" thickBot="1"/>
    <row r="1041" spans="2:9" ht="96.75" customHeight="1" thickBot="1">
      <c r="B1041" s="226" t="s">
        <v>395</v>
      </c>
      <c r="C1041" s="227"/>
      <c r="D1041" s="227"/>
      <c r="E1041" s="227"/>
      <c r="F1041" s="227"/>
      <c r="G1041" s="227"/>
      <c r="H1041" s="227"/>
      <c r="I1041" s="228"/>
    </row>
    <row r="1044" spans="2:9">
      <c r="B1044" s="3" t="s">
        <v>391</v>
      </c>
      <c r="C1044" s="3">
        <v>700</v>
      </c>
    </row>
    <row r="1045" spans="2:9">
      <c r="B1045" s="3" t="s">
        <v>392</v>
      </c>
      <c r="C1045" s="3">
        <v>1000</v>
      </c>
    </row>
    <row r="1046" spans="2:9">
      <c r="B1046" s="3" t="s">
        <v>393</v>
      </c>
      <c r="C1046" s="38">
        <v>0.35599999999999998</v>
      </c>
    </row>
    <row r="1047" spans="2:9">
      <c r="B1047" s="3" t="s">
        <v>133</v>
      </c>
      <c r="C1047" s="3">
        <v>5</v>
      </c>
    </row>
    <row r="1048" spans="2:9">
      <c r="B1048" s="3" t="s">
        <v>394</v>
      </c>
      <c r="C1048" s="9">
        <v>0.31</v>
      </c>
    </row>
    <row r="1049" spans="2:9">
      <c r="B1049" s="6" t="s">
        <v>7</v>
      </c>
      <c r="C1049" s="3"/>
    </row>
    <row r="1050" spans="2:9">
      <c r="B1050" s="3" t="s">
        <v>396</v>
      </c>
      <c r="C1050" s="3">
        <f>C1044*2*(1+C1046)</f>
        <v>1898.3999999999999</v>
      </c>
    </row>
    <row r="1051" spans="2:9">
      <c r="B1051" s="3" t="s">
        <v>397</v>
      </c>
      <c r="C1051" s="3">
        <f>C1045*(1+C1046)</f>
        <v>1355.9999999999998</v>
      </c>
    </row>
    <row r="1052" spans="2:9">
      <c r="B1052" s="3" t="s">
        <v>398</v>
      </c>
      <c r="C1052" s="10">
        <f>C1050-C1051</f>
        <v>542.40000000000009</v>
      </c>
    </row>
    <row r="1053" spans="2:9">
      <c r="B1053" s="3" t="s">
        <v>403</v>
      </c>
      <c r="C1053" s="9">
        <f>1/C1047</f>
        <v>0.2</v>
      </c>
    </row>
    <row r="1054" spans="2:9">
      <c r="B1054" s="3" t="s">
        <v>400</v>
      </c>
      <c r="C1054" s="9">
        <f>C1048-C1053</f>
        <v>0.10999999999999999</v>
      </c>
      <c r="D1054" s="35" t="s">
        <v>982</v>
      </c>
    </row>
    <row r="1055" spans="2:9">
      <c r="B1055" s="3" t="s">
        <v>401</v>
      </c>
      <c r="C1055" s="7">
        <f>C1054/12</f>
        <v>9.166666666666665E-3</v>
      </c>
    </row>
    <row r="1056" spans="2:9">
      <c r="B1056" s="3" t="s">
        <v>402</v>
      </c>
      <c r="C1056" s="37">
        <f>C1047*12</f>
        <v>60</v>
      </c>
    </row>
    <row r="1057" spans="2:9">
      <c r="B1057" s="3" t="s">
        <v>399</v>
      </c>
      <c r="C1057" s="15">
        <f>PV(C1055,C1056,-C1052)</f>
        <v>24946.621551231863</v>
      </c>
      <c r="D1057" s="24"/>
    </row>
    <row r="1064" spans="2:9" ht="19.5" thickBot="1"/>
    <row r="1065" spans="2:9" ht="78" customHeight="1" thickBot="1">
      <c r="B1065" s="226" t="s">
        <v>983</v>
      </c>
      <c r="C1065" s="227"/>
      <c r="D1065" s="227"/>
      <c r="E1065" s="227"/>
      <c r="F1065" s="227"/>
      <c r="G1065" s="227"/>
      <c r="H1065" s="227"/>
      <c r="I1065" s="228"/>
    </row>
    <row r="1068" spans="2:9" ht="19.5" thickBot="1">
      <c r="B1068" s="3"/>
      <c r="C1068" s="44" t="s">
        <v>4</v>
      </c>
      <c r="D1068" s="39" t="s">
        <v>5</v>
      </c>
    </row>
    <row r="1069" spans="2:9">
      <c r="B1069" s="3" t="s">
        <v>10</v>
      </c>
      <c r="C1069" s="45">
        <v>100000</v>
      </c>
      <c r="D1069" s="40">
        <v>100000</v>
      </c>
    </row>
    <row r="1070" spans="2:9">
      <c r="B1070" s="3" t="s">
        <v>3</v>
      </c>
      <c r="C1070" s="46">
        <v>30000</v>
      </c>
      <c r="D1070" s="41">
        <v>25000</v>
      </c>
    </row>
    <row r="1071" spans="2:9">
      <c r="B1071" s="3" t="s">
        <v>6</v>
      </c>
      <c r="C1071" s="47">
        <v>2</v>
      </c>
      <c r="D1071" s="42">
        <v>2</v>
      </c>
    </row>
    <row r="1072" spans="2:9">
      <c r="B1072" s="6" t="s">
        <v>7</v>
      </c>
      <c r="C1072" s="46"/>
      <c r="D1072" s="41"/>
    </row>
    <row r="1073" spans="2:9">
      <c r="B1073" s="3" t="s">
        <v>8</v>
      </c>
      <c r="C1073" s="46">
        <f>0.065*C1071+0.0032*C1070/1000</f>
        <v>0.22600000000000001</v>
      </c>
      <c r="D1073" s="41">
        <f>0.065*D1071+0.0032*D1070/1000</f>
        <v>0.21000000000000002</v>
      </c>
    </row>
    <row r="1074" spans="2:9">
      <c r="B1074" s="3" t="s">
        <v>9</v>
      </c>
      <c r="C1074" s="48">
        <f>1-EXP(-C1073)</f>
        <v>0.20228189833432575</v>
      </c>
      <c r="D1074" s="43">
        <f>1-EXP(-D1073)</f>
        <v>0.18941575402981292</v>
      </c>
    </row>
    <row r="1075" spans="2:9">
      <c r="B1075" s="3" t="s">
        <v>11</v>
      </c>
      <c r="C1075" s="46">
        <f>C1069*C1074</f>
        <v>20228.189833432574</v>
      </c>
      <c r="D1075" s="41">
        <f>D1069*D1074</f>
        <v>18941.575402981292</v>
      </c>
    </row>
    <row r="1076" spans="2:9">
      <c r="B1076" s="3" t="s">
        <v>13</v>
      </c>
      <c r="C1076" s="46">
        <f>C1069-C1075</f>
        <v>79771.810166567418</v>
      </c>
      <c r="D1076" s="41">
        <f>D1069-D1075</f>
        <v>81058.424597018704</v>
      </c>
    </row>
    <row r="1077" spans="2:9">
      <c r="B1077" s="3" t="s">
        <v>880</v>
      </c>
      <c r="C1077" s="46"/>
      <c r="D1077" s="200">
        <f>C1076/D1076</f>
        <v>0.98412732005528503</v>
      </c>
      <c r="E1077" s="35" t="s">
        <v>984</v>
      </c>
    </row>
    <row r="1084" spans="2:9" ht="19.5" thickBot="1"/>
    <row r="1085" spans="2:9" ht="60" customHeight="1" thickBot="1">
      <c r="B1085" s="226" t="s">
        <v>406</v>
      </c>
      <c r="C1085" s="227"/>
      <c r="D1085" s="227"/>
      <c r="E1085" s="227"/>
      <c r="F1085" s="227"/>
      <c r="G1085" s="227"/>
      <c r="H1085" s="227"/>
      <c r="I1085" s="228"/>
    </row>
    <row r="1088" spans="2:9">
      <c r="B1088" s="3" t="s">
        <v>174</v>
      </c>
      <c r="C1088" s="3">
        <v>30500</v>
      </c>
    </row>
    <row r="1089" spans="2:9">
      <c r="B1089" s="3" t="s">
        <v>404</v>
      </c>
      <c r="C1089" s="30">
        <v>2.0449999999999999</v>
      </c>
    </row>
    <row r="1090" spans="2:9">
      <c r="B1090" s="3" t="s">
        <v>405</v>
      </c>
      <c r="C1090" s="7">
        <v>6.08E-2</v>
      </c>
      <c r="D1090" s="35" t="s">
        <v>985</v>
      </c>
    </row>
    <row r="1091" spans="2:9">
      <c r="B1091" s="6" t="s">
        <v>7</v>
      </c>
      <c r="C1091" s="3"/>
    </row>
    <row r="1092" spans="2:9">
      <c r="B1092" s="3" t="s">
        <v>266</v>
      </c>
      <c r="C1092" s="30">
        <f>C1089*(1+C1090)</f>
        <v>2.1693359999999999</v>
      </c>
    </row>
    <row r="1093" spans="2:9">
      <c r="B1093" s="3" t="s">
        <v>407</v>
      </c>
      <c r="C1093" s="15">
        <f>C1088*C1092</f>
        <v>66164.747999999992</v>
      </c>
    </row>
    <row r="1100" spans="2:9" ht="19.5" thickBot="1"/>
    <row r="1101" spans="2:9" ht="65.25" customHeight="1" thickBot="1">
      <c r="B1101" s="226" t="s">
        <v>408</v>
      </c>
      <c r="C1101" s="227"/>
      <c r="D1101" s="227"/>
      <c r="E1101" s="227"/>
      <c r="F1101" s="227"/>
      <c r="G1101" s="227"/>
      <c r="H1101" s="227"/>
      <c r="I1101" s="228"/>
    </row>
    <row r="1104" spans="2:9">
      <c r="B1104" s="3" t="s">
        <v>53</v>
      </c>
      <c r="C1104" s="3">
        <v>1045000</v>
      </c>
    </row>
    <row r="1105" spans="2:9">
      <c r="B1105" s="3" t="s">
        <v>52</v>
      </c>
      <c r="C1105" s="3">
        <v>3400000</v>
      </c>
    </row>
    <row r="1106" spans="2:9">
      <c r="B1106" s="3" t="s">
        <v>34</v>
      </c>
      <c r="C1106" s="3">
        <v>7</v>
      </c>
    </row>
    <row r="1107" spans="2:9">
      <c r="B1107" s="3" t="s">
        <v>409</v>
      </c>
      <c r="C1107" s="18">
        <v>2012</v>
      </c>
    </row>
    <row r="1108" spans="2:9">
      <c r="B1108" s="3" t="s">
        <v>410</v>
      </c>
      <c r="C1108" s="18">
        <v>2015</v>
      </c>
    </row>
    <row r="1109" spans="2:9">
      <c r="B1109" s="6" t="s">
        <v>7</v>
      </c>
      <c r="C1109" s="3"/>
    </row>
    <row r="1110" spans="2:9">
      <c r="B1110" s="3" t="s">
        <v>411</v>
      </c>
      <c r="C1110" s="3">
        <f>C1106-(C1108-C1107)</f>
        <v>4</v>
      </c>
    </row>
    <row r="1111" spans="2:9">
      <c r="B1111" s="3" t="s">
        <v>54</v>
      </c>
      <c r="C1111" s="15">
        <f>C1105/C1104</f>
        <v>3.2535885167464116</v>
      </c>
      <c r="D1111" s="24" t="s">
        <v>412</v>
      </c>
    </row>
    <row r="1118" spans="2:9" ht="19.5" thickBot="1"/>
    <row r="1119" spans="2:9" ht="79.5" customHeight="1" thickBot="1">
      <c r="B1119" s="226" t="s">
        <v>873</v>
      </c>
      <c r="C1119" s="227"/>
      <c r="D1119" s="227"/>
      <c r="E1119" s="227"/>
      <c r="F1119" s="227"/>
      <c r="G1119" s="227"/>
      <c r="H1119" s="227"/>
      <c r="I1119" s="228"/>
    </row>
    <row r="1122" spans="2:9">
      <c r="B1122" s="3" t="s">
        <v>413</v>
      </c>
      <c r="C1122" s="3">
        <v>250000</v>
      </c>
    </row>
    <row r="1123" spans="2:9">
      <c r="B1123" s="3" t="s">
        <v>414</v>
      </c>
      <c r="C1123" s="9">
        <v>0.55000000000000004</v>
      </c>
      <c r="D1123" s="35" t="s">
        <v>417</v>
      </c>
    </row>
    <row r="1124" spans="2:9">
      <c r="B1124" s="3" t="s">
        <v>415</v>
      </c>
      <c r="C1124" s="30">
        <v>1.083</v>
      </c>
    </row>
    <row r="1125" spans="2:9">
      <c r="B1125" s="3" t="s">
        <v>416</v>
      </c>
      <c r="C1125" s="30">
        <v>1.2110000000000001</v>
      </c>
    </row>
    <row r="1126" spans="2:9">
      <c r="B1126" s="6" t="s">
        <v>7</v>
      </c>
      <c r="C1126" s="3"/>
    </row>
    <row r="1127" spans="2:9">
      <c r="B1127" s="3" t="s">
        <v>266</v>
      </c>
      <c r="C1127" s="30">
        <f>C1125/C1124</f>
        <v>1.1181902123730381</v>
      </c>
    </row>
    <row r="1128" spans="2:9">
      <c r="B1128" s="3" t="s">
        <v>14</v>
      </c>
      <c r="C1128" s="15">
        <f>C1122*C1127</f>
        <v>279547.55309325951</v>
      </c>
    </row>
    <row r="1135" spans="2:9" ht="19.5" thickBot="1"/>
    <row r="1136" spans="2:9" ht="58.15" customHeight="1" thickBot="1">
      <c r="B1136" s="226" t="s">
        <v>418</v>
      </c>
      <c r="C1136" s="227"/>
      <c r="D1136" s="227"/>
      <c r="E1136" s="227"/>
      <c r="F1136" s="227"/>
      <c r="G1136" s="227"/>
      <c r="H1136" s="227"/>
      <c r="I1136" s="228"/>
    </row>
    <row r="1139" spans="2:4">
      <c r="B1139" s="3" t="s">
        <v>419</v>
      </c>
      <c r="C1139" s="37">
        <v>25</v>
      </c>
    </row>
    <row r="1140" spans="2:4">
      <c r="B1140" s="3" t="s">
        <v>420</v>
      </c>
      <c r="C1140" s="37">
        <v>40</v>
      </c>
    </row>
    <row r="1141" spans="2:4">
      <c r="B1141" s="3" t="s">
        <v>421</v>
      </c>
      <c r="C1141" s="37">
        <v>20</v>
      </c>
    </row>
    <row r="1142" spans="2:4">
      <c r="B1142" s="3" t="s">
        <v>422</v>
      </c>
      <c r="C1142" s="37">
        <v>5</v>
      </c>
    </row>
    <row r="1143" spans="2:4">
      <c r="B1143" s="3" t="s">
        <v>423</v>
      </c>
      <c r="C1143" s="142">
        <v>0.7</v>
      </c>
    </row>
    <row r="1144" spans="2:4">
      <c r="B1144" s="6" t="s">
        <v>7</v>
      </c>
      <c r="C1144" s="3"/>
    </row>
    <row r="1145" spans="2:4">
      <c r="B1145" s="3" t="s">
        <v>427</v>
      </c>
      <c r="C1145" s="7">
        <f>C1139/C1140</f>
        <v>0.625</v>
      </c>
    </row>
    <row r="1146" spans="2:4">
      <c r="B1146" s="3" t="s">
        <v>424</v>
      </c>
      <c r="C1146" s="7">
        <f>C1142/C1141</f>
        <v>0.25</v>
      </c>
    </row>
    <row r="1147" spans="2:4">
      <c r="B1147" s="3" t="s">
        <v>428</v>
      </c>
      <c r="C1147" s="142">
        <f>1-C1143</f>
        <v>0.30000000000000004</v>
      </c>
    </row>
    <row r="1148" spans="2:4">
      <c r="B1148" s="3" t="s">
        <v>82</v>
      </c>
      <c r="C1148" s="50">
        <f>C1145*C1147+C1146*C1143</f>
        <v>0.36250000000000004</v>
      </c>
      <c r="D1148" s="35" t="s">
        <v>987</v>
      </c>
    </row>
    <row r="1155" spans="2:9" ht="19.5" thickBot="1"/>
    <row r="1156" spans="2:9" ht="63.75" customHeight="1" thickBot="1">
      <c r="B1156" s="226" t="s">
        <v>425</v>
      </c>
      <c r="C1156" s="227"/>
      <c r="D1156" s="227"/>
      <c r="E1156" s="227"/>
      <c r="F1156" s="227"/>
      <c r="G1156" s="227"/>
      <c r="H1156" s="227"/>
      <c r="I1156" s="228"/>
    </row>
    <row r="1159" spans="2:9">
      <c r="B1159" s="3" t="s">
        <v>419</v>
      </c>
      <c r="C1159" s="37">
        <v>25</v>
      </c>
    </row>
    <row r="1160" spans="2:9">
      <c r="B1160" s="3" t="s">
        <v>420</v>
      </c>
      <c r="C1160" s="37">
        <v>40</v>
      </c>
    </row>
    <row r="1161" spans="2:9">
      <c r="B1161" s="3" t="s">
        <v>421</v>
      </c>
      <c r="C1161" s="37">
        <v>20</v>
      </c>
    </row>
    <row r="1162" spans="2:9">
      <c r="B1162" s="3" t="s">
        <v>422</v>
      </c>
      <c r="C1162" s="37">
        <v>5</v>
      </c>
    </row>
    <row r="1163" spans="2:9">
      <c r="B1163" s="3" t="s">
        <v>426</v>
      </c>
      <c r="C1163" s="9">
        <v>0.7</v>
      </c>
    </row>
    <row r="1164" spans="2:9">
      <c r="B1164" s="6" t="s">
        <v>7</v>
      </c>
      <c r="C1164" s="3"/>
    </row>
    <row r="1165" spans="2:9">
      <c r="B1165" s="3" t="s">
        <v>423</v>
      </c>
      <c r="C1165" s="49">
        <f>C1163/(C1163+100%)</f>
        <v>0.41176470588235292</v>
      </c>
      <c r="D1165" s="35" t="s">
        <v>429</v>
      </c>
    </row>
    <row r="1166" spans="2:9">
      <c r="B1166" s="3" t="s">
        <v>428</v>
      </c>
      <c r="C1166" s="30">
        <f>1-C1165</f>
        <v>0.58823529411764708</v>
      </c>
    </row>
    <row r="1167" spans="2:9">
      <c r="B1167" s="3" t="s">
        <v>427</v>
      </c>
      <c r="C1167" s="7">
        <f>C1159/C1160</f>
        <v>0.625</v>
      </c>
    </row>
    <row r="1168" spans="2:9">
      <c r="B1168" s="3" t="s">
        <v>424</v>
      </c>
      <c r="C1168" s="7">
        <f>C1162/C1161</f>
        <v>0.25</v>
      </c>
    </row>
    <row r="1169" spans="2:9">
      <c r="B1169" s="3" t="s">
        <v>82</v>
      </c>
      <c r="C1169" s="50">
        <f>C1167*C1166+C1168*C1165</f>
        <v>0.47058823529411764</v>
      </c>
    </row>
    <row r="1176" spans="2:9" ht="19.5" thickBot="1"/>
    <row r="1177" spans="2:9" ht="58.5" customHeight="1" thickBot="1">
      <c r="B1177" s="226" t="s">
        <v>433</v>
      </c>
      <c r="C1177" s="227"/>
      <c r="D1177" s="227"/>
      <c r="E1177" s="227"/>
      <c r="F1177" s="227"/>
      <c r="G1177" s="227"/>
      <c r="H1177" s="227"/>
      <c r="I1177" s="228"/>
    </row>
    <row r="1180" spans="2:9">
      <c r="B1180" s="3" t="s">
        <v>86</v>
      </c>
      <c r="C1180" s="5">
        <v>1</v>
      </c>
      <c r="D1180" s="5">
        <v>2</v>
      </c>
      <c r="E1180" s="5">
        <v>3</v>
      </c>
    </row>
    <row r="1181" spans="2:9">
      <c r="B1181" s="3" t="s">
        <v>430</v>
      </c>
      <c r="C1181" s="5">
        <f>100000*1.1</f>
        <v>110000.00000000001</v>
      </c>
      <c r="D1181" s="5">
        <f>C1181*1.1</f>
        <v>121000.00000000003</v>
      </c>
      <c r="E1181" s="5">
        <f>D1181*1.1</f>
        <v>133100.00000000003</v>
      </c>
    </row>
    <row r="1182" spans="2:9">
      <c r="B1182" s="3" t="s">
        <v>431</v>
      </c>
      <c r="C1182" s="5">
        <f>60000*1.1</f>
        <v>66000</v>
      </c>
      <c r="D1182" s="5">
        <f>C1182*1.1</f>
        <v>72600</v>
      </c>
      <c r="E1182" s="5">
        <f>D1182*1.1</f>
        <v>79860</v>
      </c>
    </row>
    <row r="1183" spans="2:9">
      <c r="B1183" s="3" t="s">
        <v>432</v>
      </c>
      <c r="C1183" s="4">
        <f>C1181-C1182</f>
        <v>44000.000000000015</v>
      </c>
      <c r="D1183" s="4">
        <f>D1181-D1182</f>
        <v>48400.000000000029</v>
      </c>
      <c r="E1183" s="4">
        <f>E1181-E1182</f>
        <v>53240.000000000029</v>
      </c>
    </row>
    <row r="1184" spans="2:9">
      <c r="B1184" s="3" t="s">
        <v>88</v>
      </c>
      <c r="C1184" s="22">
        <v>0.15</v>
      </c>
      <c r="D1184" s="22">
        <v>0.15</v>
      </c>
      <c r="E1184" s="22">
        <v>0.15</v>
      </c>
    </row>
    <row r="1185" spans="2:9">
      <c r="B1185" s="3" t="s">
        <v>134</v>
      </c>
      <c r="C1185" s="4">
        <f>C1183/(1+C1184)^(C1180-0.5)</f>
        <v>41030.211562573815</v>
      </c>
      <c r="D1185" s="4">
        <f>D1183/(1+D1184)^(D1180-0.5)</f>
        <v>39246.289320722797</v>
      </c>
      <c r="E1185" s="4">
        <f>E1183/(1+E1184)^(E1180-0.5)</f>
        <v>37539.928915473982</v>
      </c>
      <c r="F1185" s="11">
        <f>SUM(C1185:E1185)</f>
        <v>117816.42979877059</v>
      </c>
    </row>
    <row r="1187" spans="2:9">
      <c r="B1187" s="78" t="s">
        <v>580</v>
      </c>
    </row>
    <row r="1194" spans="2:9" ht="19.5" thickBot="1"/>
    <row r="1195" spans="2:9" ht="78" customHeight="1" thickBot="1">
      <c r="B1195" s="226" t="s">
        <v>434</v>
      </c>
      <c r="C1195" s="227"/>
      <c r="D1195" s="227"/>
      <c r="E1195" s="227"/>
      <c r="F1195" s="227"/>
      <c r="G1195" s="227"/>
      <c r="H1195" s="227"/>
      <c r="I1195" s="228"/>
    </row>
    <row r="1198" spans="2:9">
      <c r="B1198" s="3" t="s">
        <v>435</v>
      </c>
      <c r="C1198" s="3">
        <v>4000000</v>
      </c>
    </row>
    <row r="1199" spans="2:9">
      <c r="B1199" s="3" t="s">
        <v>33</v>
      </c>
      <c r="C1199" s="37">
        <v>3</v>
      </c>
    </row>
    <row r="1200" spans="2:9">
      <c r="B1200" s="3" t="s">
        <v>436</v>
      </c>
      <c r="C1200" s="3">
        <v>2.5</v>
      </c>
    </row>
    <row r="1201" spans="2:9">
      <c r="B1201" s="3" t="s">
        <v>437</v>
      </c>
      <c r="C1201" s="3">
        <v>2000000</v>
      </c>
    </row>
    <row r="1202" spans="2:9">
      <c r="B1202" s="3" t="s">
        <v>438</v>
      </c>
      <c r="C1202" s="3">
        <v>10</v>
      </c>
    </row>
    <row r="1203" spans="2:9">
      <c r="B1203" s="3" t="s">
        <v>439</v>
      </c>
      <c r="C1203" s="3">
        <v>9</v>
      </c>
    </row>
    <row r="1204" spans="2:9">
      <c r="B1204" s="3" t="s">
        <v>31</v>
      </c>
      <c r="C1204" s="9">
        <v>0.1</v>
      </c>
    </row>
    <row r="1205" spans="2:9">
      <c r="B1205" s="6" t="s">
        <v>7</v>
      </c>
      <c r="C1205" s="3"/>
    </row>
    <row r="1206" spans="2:9">
      <c r="B1206" s="3" t="s">
        <v>440</v>
      </c>
      <c r="C1206" s="3">
        <f>C1201*(1-C1204)</f>
        <v>1800000</v>
      </c>
    </row>
    <row r="1207" spans="2:9">
      <c r="B1207" s="3" t="s">
        <v>442</v>
      </c>
      <c r="C1207" s="3">
        <f>C1206/C1203</f>
        <v>200000</v>
      </c>
    </row>
    <row r="1208" spans="2:9">
      <c r="B1208" s="3" t="s">
        <v>441</v>
      </c>
      <c r="C1208" s="15">
        <f>C1207*C1202</f>
        <v>2000000</v>
      </c>
    </row>
    <row r="1215" spans="2:9" ht="19.5" thickBot="1"/>
    <row r="1216" spans="2:9" ht="59.25" customHeight="1" thickBot="1">
      <c r="B1216" s="226" t="s">
        <v>446</v>
      </c>
      <c r="C1216" s="227"/>
      <c r="D1216" s="227"/>
      <c r="E1216" s="227"/>
      <c r="F1216" s="227"/>
      <c r="G1216" s="227"/>
      <c r="H1216" s="227"/>
      <c r="I1216" s="228"/>
    </row>
    <row r="1219" spans="2:9">
      <c r="B1219" s="3" t="s">
        <v>443</v>
      </c>
      <c r="C1219" s="3">
        <v>10000000</v>
      </c>
    </row>
    <row r="1220" spans="2:9">
      <c r="B1220" s="3" t="s">
        <v>444</v>
      </c>
      <c r="C1220" s="3">
        <v>1.5</v>
      </c>
    </row>
    <row r="1221" spans="2:9">
      <c r="B1221" s="6" t="s">
        <v>7</v>
      </c>
      <c r="C1221" s="3"/>
    </row>
    <row r="1222" spans="2:9">
      <c r="B1222" s="3" t="s">
        <v>445</v>
      </c>
      <c r="C1222" s="15">
        <f>C1219*C1220</f>
        <v>15000000</v>
      </c>
    </row>
    <row r="1229" spans="2:9" ht="19.5" thickBot="1"/>
    <row r="1230" spans="2:9" ht="39" customHeight="1" thickBot="1">
      <c r="B1230" s="226" t="s">
        <v>447</v>
      </c>
      <c r="C1230" s="227"/>
      <c r="D1230" s="227"/>
      <c r="E1230" s="227"/>
      <c r="F1230" s="227"/>
      <c r="G1230" s="227"/>
      <c r="H1230" s="227"/>
      <c r="I1230" s="228"/>
    </row>
    <row r="1233" spans="2:4">
      <c r="B1233" s="3" t="s">
        <v>10</v>
      </c>
      <c r="C1233" s="3">
        <v>150000</v>
      </c>
    </row>
    <row r="1234" spans="2:4">
      <c r="B1234" s="3" t="s">
        <v>448</v>
      </c>
      <c r="C1234" s="3">
        <v>10000</v>
      </c>
    </row>
    <row r="1235" spans="2:4">
      <c r="B1235" s="3" t="s">
        <v>449</v>
      </c>
      <c r="C1235" s="3">
        <v>27000</v>
      </c>
    </row>
    <row r="1236" spans="2:4">
      <c r="B1236" s="6" t="s">
        <v>7</v>
      </c>
      <c r="C1236" s="3"/>
    </row>
    <row r="1237" spans="2:4">
      <c r="B1237" s="3" t="s">
        <v>450</v>
      </c>
      <c r="C1237" s="7">
        <f>C1235/C1233</f>
        <v>0.18</v>
      </c>
    </row>
    <row r="1238" spans="2:4">
      <c r="B1238" s="3" t="s">
        <v>161</v>
      </c>
      <c r="C1238" s="7">
        <f>(C1233-C1234-C1235)/C1233</f>
        <v>0.7533333333333333</v>
      </c>
    </row>
    <row r="1239" spans="2:4">
      <c r="B1239" s="3" t="s">
        <v>451</v>
      </c>
      <c r="C1239" s="7">
        <f>C1234/C1233</f>
        <v>6.6666666666666666E-2</v>
      </c>
      <c r="D1239" s="35" t="s">
        <v>452</v>
      </c>
    </row>
    <row r="1240" spans="2:4">
      <c r="B1240" s="3" t="s">
        <v>453</v>
      </c>
      <c r="C1240" s="9">
        <f>(7-5)/5</f>
        <v>0.4</v>
      </c>
      <c r="D1240" s="35" t="s">
        <v>454</v>
      </c>
    </row>
    <row r="1241" spans="2:4">
      <c r="B1241" s="3" t="s">
        <v>455</v>
      </c>
      <c r="C1241" s="9">
        <f>7/10</f>
        <v>0.7</v>
      </c>
      <c r="D1241" s="35" t="s">
        <v>456</v>
      </c>
    </row>
    <row r="1242" spans="2:4">
      <c r="B1242" s="3" t="s">
        <v>457</v>
      </c>
      <c r="C1242" s="50">
        <f>C1240*C1237+C1241*C1238</f>
        <v>0.59933333333333327</v>
      </c>
      <c r="D1242" s="35" t="s">
        <v>881</v>
      </c>
    </row>
    <row r="1243" spans="2:4">
      <c r="B1243" s="28" t="s">
        <v>363</v>
      </c>
      <c r="C1243" s="3"/>
      <c r="D1243" s="136"/>
    </row>
    <row r="1244" spans="2:4">
      <c r="B1244" s="3" t="s">
        <v>458</v>
      </c>
      <c r="C1244" s="7">
        <f>(C1233-C1234-C1235)/C1233*(7/10)</f>
        <v>0.52733333333333332</v>
      </c>
      <c r="D1244" s="35" t="s">
        <v>460</v>
      </c>
    </row>
    <row r="1245" spans="2:4">
      <c r="B1245" s="3" t="s">
        <v>459</v>
      </c>
      <c r="C1245" s="7">
        <f>(C1235/C1233)*(7-5)/5</f>
        <v>7.1999999999999995E-2</v>
      </c>
      <c r="D1245" s="35" t="s">
        <v>461</v>
      </c>
    </row>
    <row r="1246" spans="2:4">
      <c r="B1246" s="3" t="s">
        <v>82</v>
      </c>
      <c r="C1246" s="50">
        <f>C1244+C1245</f>
        <v>0.59933333333333327</v>
      </c>
    </row>
    <row r="1253" spans="2:9" ht="19.5" thickBot="1"/>
    <row r="1254" spans="2:9" ht="60" customHeight="1" thickBot="1">
      <c r="B1254" s="226" t="s">
        <v>462</v>
      </c>
      <c r="C1254" s="227"/>
      <c r="D1254" s="227"/>
      <c r="E1254" s="227"/>
      <c r="F1254" s="227"/>
      <c r="G1254" s="227"/>
      <c r="H1254" s="227"/>
      <c r="I1254" s="228"/>
    </row>
    <row r="1257" spans="2:9">
      <c r="B1257" s="3"/>
      <c r="C1257" s="4" t="s">
        <v>4</v>
      </c>
      <c r="D1257" s="4" t="s">
        <v>241</v>
      </c>
      <c r="E1257" s="4" t="s">
        <v>242</v>
      </c>
      <c r="F1257" s="4" t="s">
        <v>464</v>
      </c>
      <c r="G1257" s="4" t="s">
        <v>465</v>
      </c>
    </row>
    <row r="1258" spans="2:9">
      <c r="B1258" s="3" t="s">
        <v>80</v>
      </c>
      <c r="C1258" s="10">
        <f>D1258*(C1259/D1259)^G1259</f>
        <v>196529.88368276114</v>
      </c>
      <c r="D1258" s="3">
        <v>140000</v>
      </c>
      <c r="E1258" s="3">
        <v>250000</v>
      </c>
      <c r="F1258" s="3">
        <f>LN(D1258/E1258)</f>
        <v>-0.57981849525294205</v>
      </c>
      <c r="G1258" s="3"/>
    </row>
    <row r="1259" spans="2:9">
      <c r="B1259" s="3" t="s">
        <v>463</v>
      </c>
      <c r="C1259" s="3">
        <v>150</v>
      </c>
      <c r="D1259" s="3">
        <v>100</v>
      </c>
      <c r="E1259" s="3">
        <v>200</v>
      </c>
      <c r="F1259" s="3">
        <f>LN(D1259/E1259)</f>
        <v>-0.69314718055994529</v>
      </c>
      <c r="G1259" s="3">
        <f>F1258/F1259</f>
        <v>0.83650126771712052</v>
      </c>
    </row>
    <row r="1260" spans="2:9">
      <c r="B1260" s="3" t="s">
        <v>466</v>
      </c>
      <c r="C1260" s="9">
        <v>0.7</v>
      </c>
    </row>
    <row r="1261" spans="2:9">
      <c r="B1261" s="3" t="s">
        <v>466</v>
      </c>
      <c r="C1261" s="10">
        <f>C1258*C1260</f>
        <v>137570.91857793278</v>
      </c>
    </row>
    <row r="1262" spans="2:9">
      <c r="B1262" s="3" t="s">
        <v>467</v>
      </c>
      <c r="C1262" s="3">
        <v>20000</v>
      </c>
    </row>
    <row r="1263" spans="2:9">
      <c r="B1263" s="3" t="s">
        <v>125</v>
      </c>
      <c r="C1263" s="3">
        <f>C1258+C1261+C1262</f>
        <v>354100.80226069392</v>
      </c>
      <c r="D1263" s="35" t="s">
        <v>468</v>
      </c>
    </row>
    <row r="1264" spans="2:9">
      <c r="B1264" s="3" t="s">
        <v>20</v>
      </c>
      <c r="C1264" s="3">
        <v>5</v>
      </c>
    </row>
    <row r="1265" spans="2:9">
      <c r="B1265" s="3" t="s">
        <v>34</v>
      </c>
      <c r="C1265" s="3">
        <v>15</v>
      </c>
    </row>
    <row r="1266" spans="2:9">
      <c r="B1266" s="3" t="s">
        <v>15</v>
      </c>
      <c r="C1266" s="7">
        <f>C1264/C1265</f>
        <v>0.33333333333333331</v>
      </c>
    </row>
    <row r="1267" spans="2:9">
      <c r="B1267" s="3" t="s">
        <v>16</v>
      </c>
      <c r="C1267" s="9">
        <v>0.3</v>
      </c>
    </row>
    <row r="1268" spans="2:9">
      <c r="B1268" s="3" t="s">
        <v>13</v>
      </c>
      <c r="C1268" s="15">
        <f>C1263*(1-C1266)*(1-C1267)</f>
        <v>165247.04105499049</v>
      </c>
    </row>
    <row r="1275" spans="2:9" ht="19.5" thickBot="1"/>
    <row r="1276" spans="2:9" ht="80.25" customHeight="1" thickBot="1">
      <c r="B1276" s="226" t="s">
        <v>989</v>
      </c>
      <c r="C1276" s="227"/>
      <c r="D1276" s="227"/>
      <c r="E1276" s="227"/>
      <c r="F1276" s="227"/>
      <c r="G1276" s="227"/>
      <c r="H1276" s="227"/>
      <c r="I1276" s="228"/>
    </row>
    <row r="1279" spans="2:9">
      <c r="B1279" s="3" t="s">
        <v>174</v>
      </c>
      <c r="C1279" s="3">
        <v>265600000</v>
      </c>
    </row>
    <row r="1280" spans="2:9">
      <c r="B1280" s="3" t="s">
        <v>469</v>
      </c>
      <c r="C1280" s="3">
        <v>41</v>
      </c>
    </row>
    <row r="1281" spans="2:4">
      <c r="B1281" s="3" t="s">
        <v>74</v>
      </c>
      <c r="C1281" s="3">
        <v>61</v>
      </c>
    </row>
    <row r="1282" spans="2:4">
      <c r="B1282" s="3" t="s">
        <v>470</v>
      </c>
      <c r="C1282" s="30">
        <v>1.361</v>
      </c>
    </row>
    <row r="1283" spans="2:4">
      <c r="B1283" s="3" t="s">
        <v>471</v>
      </c>
      <c r="C1283" s="30">
        <v>1.387</v>
      </c>
    </row>
    <row r="1284" spans="2:4">
      <c r="B1284" s="3" t="s">
        <v>473</v>
      </c>
      <c r="C1284" s="30">
        <v>3.173</v>
      </c>
      <c r="D1284" s="35" t="s">
        <v>988</v>
      </c>
    </row>
    <row r="1285" spans="2:4">
      <c r="B1285" s="3" t="s">
        <v>472</v>
      </c>
      <c r="C1285" s="30">
        <v>4.6929999999999996</v>
      </c>
      <c r="D1285" s="35" t="s">
        <v>988</v>
      </c>
    </row>
    <row r="1286" spans="2:4">
      <c r="B1286" s="6" t="s">
        <v>7</v>
      </c>
      <c r="C1286" s="3"/>
      <c r="D1286" s="136"/>
    </row>
    <row r="1287" spans="2:4">
      <c r="B1287" s="3" t="s">
        <v>474</v>
      </c>
      <c r="C1287" s="3">
        <f>C1279/C1280</f>
        <v>6478048.7804878047</v>
      </c>
      <c r="D1287" s="35" t="s">
        <v>882</v>
      </c>
    </row>
    <row r="1288" spans="2:4">
      <c r="B1288" s="3" t="s">
        <v>476</v>
      </c>
      <c r="C1288" s="3">
        <f>C1283/C1282</f>
        <v>1.0191036002939016</v>
      </c>
      <c r="D1288" s="136"/>
    </row>
    <row r="1289" spans="2:4">
      <c r="B1289" s="3" t="s">
        <v>475</v>
      </c>
      <c r="C1289" s="3">
        <f>C1287*C1288</f>
        <v>6601802.8350746399</v>
      </c>
      <c r="D1289" s="35" t="s">
        <v>883</v>
      </c>
    </row>
    <row r="1290" spans="2:4">
      <c r="B1290" s="3" t="s">
        <v>477</v>
      </c>
      <c r="C1290" s="15">
        <f>C1289*C1281</f>
        <v>402709972.93955302</v>
      </c>
      <c r="D1290" s="35" t="s">
        <v>478</v>
      </c>
    </row>
    <row r="1297" spans="2:9" ht="19.5" thickBot="1"/>
    <row r="1298" spans="2:9" ht="39.75" customHeight="1" thickBot="1">
      <c r="B1298" s="226" t="s">
        <v>479</v>
      </c>
      <c r="C1298" s="227"/>
      <c r="D1298" s="227"/>
      <c r="E1298" s="227"/>
      <c r="F1298" s="227"/>
      <c r="G1298" s="227"/>
      <c r="H1298" s="227"/>
      <c r="I1298" s="228"/>
    </row>
    <row r="1301" spans="2:9">
      <c r="B1301" s="3" t="s">
        <v>480</v>
      </c>
      <c r="C1301" s="3">
        <v>8</v>
      </c>
    </row>
    <row r="1302" spans="2:9">
      <c r="B1302" s="3" t="s">
        <v>481</v>
      </c>
      <c r="C1302" s="3">
        <v>10</v>
      </c>
    </row>
    <row r="1303" spans="2:9">
      <c r="B1303" s="3" t="s">
        <v>118</v>
      </c>
      <c r="C1303" s="3">
        <v>0.75</v>
      </c>
    </row>
    <row r="1304" spans="2:9">
      <c r="B1304" s="6" t="s">
        <v>7</v>
      </c>
      <c r="C1304" s="3"/>
      <c r="D1304" s="35" t="s">
        <v>990</v>
      </c>
    </row>
    <row r="1305" spans="2:9">
      <c r="B1305" s="3" t="s">
        <v>482</v>
      </c>
      <c r="C1305" s="30">
        <f>(C1301/C1302)^C1303</f>
        <v>0.84589701075245127</v>
      </c>
      <c r="D1305" s="35" t="s">
        <v>884</v>
      </c>
    </row>
    <row r="1306" spans="2:9">
      <c r="B1306" s="3" t="s">
        <v>82</v>
      </c>
      <c r="C1306" s="50">
        <f>1-C1305</f>
        <v>0.15410298924754873</v>
      </c>
    </row>
    <row r="1313" spans="2:9" ht="19.5" thickBot="1"/>
    <row r="1314" spans="2:9" ht="65.25" customHeight="1" thickBot="1">
      <c r="B1314" s="226" t="s">
        <v>991</v>
      </c>
      <c r="C1314" s="227"/>
      <c r="D1314" s="227"/>
      <c r="E1314" s="227"/>
      <c r="F1314" s="227"/>
      <c r="G1314" s="227"/>
      <c r="H1314" s="227"/>
      <c r="I1314" s="228"/>
    </row>
    <row r="1317" spans="2:9">
      <c r="B1317" s="3" t="s">
        <v>483</v>
      </c>
      <c r="C1317" s="3">
        <v>1600000</v>
      </c>
    </row>
    <row r="1318" spans="2:9">
      <c r="B1318" s="3" t="s">
        <v>484</v>
      </c>
      <c r="C1318" s="9">
        <v>0.9</v>
      </c>
    </row>
    <row r="1319" spans="2:9">
      <c r="B1319" s="3" t="s">
        <v>142</v>
      </c>
      <c r="C1319" s="3">
        <v>10</v>
      </c>
    </row>
    <row r="1320" spans="2:9">
      <c r="B1320" s="3" t="s">
        <v>486</v>
      </c>
      <c r="C1320" s="18">
        <v>2007</v>
      </c>
    </row>
    <row r="1321" spans="2:9">
      <c r="B1321" s="3" t="s">
        <v>83</v>
      </c>
      <c r="C1321" s="18">
        <v>2017</v>
      </c>
    </row>
    <row r="1322" spans="2:9">
      <c r="B1322" s="6" t="s">
        <v>7</v>
      </c>
      <c r="C1322" s="3"/>
    </row>
    <row r="1323" spans="2:9">
      <c r="B1323" s="3" t="s">
        <v>487</v>
      </c>
      <c r="C1323" s="9">
        <f>(C1321-C1320)/C1319</f>
        <v>1</v>
      </c>
      <c r="D1323" s="35" t="s">
        <v>488</v>
      </c>
    </row>
    <row r="1324" spans="2:9">
      <c r="B1324" s="3" t="s">
        <v>23</v>
      </c>
      <c r="C1324" s="15">
        <f>C1317*(1-C1318)</f>
        <v>159999.99999999997</v>
      </c>
      <c r="D1324" s="35" t="s">
        <v>489</v>
      </c>
    </row>
    <row r="1331" spans="2:9" ht="19.5" thickBot="1"/>
    <row r="1332" spans="2:9" ht="103.5" customHeight="1" thickBot="1">
      <c r="B1332" s="226" t="s">
        <v>490</v>
      </c>
      <c r="C1332" s="227"/>
      <c r="D1332" s="227"/>
      <c r="E1332" s="227"/>
      <c r="F1332" s="227"/>
      <c r="G1332" s="227"/>
      <c r="H1332" s="227"/>
      <c r="I1332" s="228"/>
    </row>
    <row r="1335" spans="2:9">
      <c r="B1335" s="3"/>
      <c r="C1335" s="4" t="s">
        <v>4</v>
      </c>
      <c r="D1335" s="4" t="s">
        <v>241</v>
      </c>
      <c r="E1335" s="4" t="s">
        <v>242</v>
      </c>
      <c r="F1335" s="4" t="s">
        <v>464</v>
      </c>
      <c r="G1335" s="4" t="s">
        <v>465</v>
      </c>
    </row>
    <row r="1336" spans="2:9">
      <c r="B1336" s="3" t="s">
        <v>80</v>
      </c>
      <c r="C1336" s="10">
        <f>D1336*(C1337/D1337)^G1337</f>
        <v>154061.10272281314</v>
      </c>
      <c r="D1336" s="3">
        <v>110000</v>
      </c>
      <c r="E1336" s="3">
        <v>140000</v>
      </c>
      <c r="F1336" s="3">
        <f>LN(D1336/E1336)</f>
        <v>-0.2411620568168881</v>
      </c>
      <c r="G1336" s="3"/>
    </row>
    <row r="1337" spans="2:9">
      <c r="B1337" s="3" t="s">
        <v>463</v>
      </c>
      <c r="C1337" s="3">
        <v>160</v>
      </c>
      <c r="D1337" s="3">
        <v>100</v>
      </c>
      <c r="E1337" s="3">
        <v>140</v>
      </c>
      <c r="F1337" s="3">
        <f>LN(D1337/E1337)</f>
        <v>-0.33647223662121289</v>
      </c>
      <c r="G1337" s="25">
        <f>F1336/F1337</f>
        <v>0.71673686732251485</v>
      </c>
    </row>
    <row r="1338" spans="2:9">
      <c r="B1338" s="3" t="s">
        <v>466</v>
      </c>
      <c r="C1338" s="9">
        <v>0.7</v>
      </c>
    </row>
    <row r="1339" spans="2:9">
      <c r="B1339" s="3" t="s">
        <v>466</v>
      </c>
      <c r="C1339" s="10">
        <f>C1336*C1338</f>
        <v>107842.77190596919</v>
      </c>
    </row>
    <row r="1340" spans="2:9">
      <c r="B1340" s="3" t="s">
        <v>125</v>
      </c>
      <c r="C1340" s="10">
        <f>C1336+C1339</f>
        <v>261903.87462878233</v>
      </c>
      <c r="D1340" s="35" t="s">
        <v>491</v>
      </c>
    </row>
    <row r="1341" spans="2:9">
      <c r="B1341" s="3" t="s">
        <v>20</v>
      </c>
      <c r="C1341" s="3">
        <v>12</v>
      </c>
    </row>
    <row r="1342" spans="2:9">
      <c r="B1342" s="3" t="s">
        <v>34</v>
      </c>
      <c r="C1342" s="3">
        <v>25</v>
      </c>
    </row>
    <row r="1343" spans="2:9">
      <c r="B1343" s="3" t="s">
        <v>15</v>
      </c>
      <c r="C1343" s="14">
        <f>C1341/C1342</f>
        <v>0.48</v>
      </c>
    </row>
    <row r="1344" spans="2:9">
      <c r="B1344" s="3" t="s">
        <v>16</v>
      </c>
      <c r="C1344" s="9">
        <v>0.1</v>
      </c>
    </row>
    <row r="1345" spans="2:9">
      <c r="B1345" s="3" t="s">
        <v>17</v>
      </c>
      <c r="C1345" s="9">
        <v>0.05</v>
      </c>
    </row>
    <row r="1346" spans="2:9">
      <c r="B1346" s="3" t="s">
        <v>13</v>
      </c>
      <c r="C1346" s="15">
        <f>C1340*(1-C1343)*(1-C1344)*(1-C1345)</f>
        <v>116442.46265995663</v>
      </c>
    </row>
    <row r="1353" spans="2:9" ht="19.5" thickBot="1"/>
    <row r="1354" spans="2:9" ht="41.25" customHeight="1" thickBot="1">
      <c r="B1354" s="226" t="s">
        <v>492</v>
      </c>
      <c r="C1354" s="227"/>
      <c r="D1354" s="227"/>
      <c r="E1354" s="227"/>
      <c r="F1354" s="227"/>
      <c r="G1354" s="227"/>
      <c r="H1354" s="227"/>
      <c r="I1354" s="228"/>
    </row>
    <row r="1356" spans="2:9">
      <c r="B1356" s="35" t="s">
        <v>493</v>
      </c>
    </row>
    <row r="1357" spans="2:9">
      <c r="B1357" s="18">
        <v>2013</v>
      </c>
      <c r="C1357" s="3">
        <v>1.1499999999999999</v>
      </c>
      <c r="D1357" s="35"/>
    </row>
    <row r="1358" spans="2:9">
      <c r="B1358" s="18">
        <v>2014</v>
      </c>
      <c r="C1358" s="3">
        <v>1.1000000000000001</v>
      </c>
    </row>
    <row r="1359" spans="2:9">
      <c r="B1359" s="18">
        <v>2015</v>
      </c>
      <c r="C1359" s="3">
        <v>1.1200000000000001</v>
      </c>
    </row>
    <row r="1360" spans="2:9">
      <c r="B1360" s="6" t="s">
        <v>7</v>
      </c>
      <c r="C1360" s="3"/>
    </row>
    <row r="1361" spans="2:9">
      <c r="B1361" s="3" t="s">
        <v>266</v>
      </c>
      <c r="C1361" s="25">
        <f>C1357*C1358*C1359</f>
        <v>1.4168000000000001</v>
      </c>
    </row>
    <row r="1362" spans="2:9">
      <c r="B1362" s="3" t="s">
        <v>494</v>
      </c>
      <c r="C1362" s="50">
        <f>C1361-1</f>
        <v>0.41680000000000006</v>
      </c>
    </row>
    <row r="1369" spans="2:9" ht="19.5" thickBot="1"/>
    <row r="1370" spans="2:9" ht="64.5" customHeight="1" thickBot="1">
      <c r="B1370" s="226" t="s">
        <v>992</v>
      </c>
      <c r="C1370" s="227"/>
      <c r="D1370" s="227"/>
      <c r="E1370" s="227"/>
      <c r="F1370" s="227"/>
      <c r="G1370" s="227"/>
      <c r="H1370" s="227"/>
      <c r="I1370" s="228"/>
    </row>
    <row r="1373" spans="2:9">
      <c r="B1373" s="3" t="s">
        <v>505</v>
      </c>
      <c r="C1373" s="3">
        <v>600000</v>
      </c>
    </row>
    <row r="1374" spans="2:9">
      <c r="B1374" s="3" t="s">
        <v>495</v>
      </c>
      <c r="C1374" s="3">
        <v>1000</v>
      </c>
    </row>
    <row r="1375" spans="2:9">
      <c r="B1375" s="3" t="s">
        <v>496</v>
      </c>
      <c r="C1375" s="37">
        <v>2</v>
      </c>
    </row>
    <row r="1376" spans="2:9">
      <c r="B1376" s="3" t="s">
        <v>497</v>
      </c>
      <c r="C1376" s="3">
        <v>1600</v>
      </c>
    </row>
    <row r="1377" spans="2:4">
      <c r="B1377" s="3" t="s">
        <v>498</v>
      </c>
      <c r="C1377" s="37">
        <v>1</v>
      </c>
    </row>
    <row r="1378" spans="2:4">
      <c r="B1378" s="3" t="s">
        <v>499</v>
      </c>
      <c r="C1378" s="38">
        <v>0.35599999999999998</v>
      </c>
    </row>
    <row r="1379" spans="2:4">
      <c r="B1379" s="3" t="s">
        <v>88</v>
      </c>
      <c r="C1379" s="38">
        <v>0.25</v>
      </c>
    </row>
    <row r="1380" spans="2:4">
      <c r="B1380" s="3" t="s">
        <v>500</v>
      </c>
      <c r="C1380" s="3">
        <v>5</v>
      </c>
    </row>
    <row r="1381" spans="2:4">
      <c r="B1381" s="3" t="s">
        <v>34</v>
      </c>
      <c r="C1381" s="3">
        <v>15</v>
      </c>
    </row>
    <row r="1382" spans="2:4">
      <c r="B1382" s="6" t="s">
        <v>7</v>
      </c>
      <c r="C1382" s="3"/>
    </row>
    <row r="1383" spans="2:4">
      <c r="B1383" s="3" t="s">
        <v>503</v>
      </c>
      <c r="C1383" s="3">
        <f>C1374*C1375-C1376</f>
        <v>400</v>
      </c>
    </row>
    <row r="1384" spans="2:4">
      <c r="B1384" s="3" t="s">
        <v>499</v>
      </c>
      <c r="C1384" s="3">
        <f>C1383*C1378</f>
        <v>142.4</v>
      </c>
    </row>
    <row r="1385" spans="2:4">
      <c r="B1385" s="3" t="s">
        <v>504</v>
      </c>
      <c r="C1385" s="3">
        <f>C1383+C1384</f>
        <v>542.4</v>
      </c>
    </row>
    <row r="1386" spans="2:4">
      <c r="B1386" s="3" t="s">
        <v>501</v>
      </c>
      <c r="C1386" s="3">
        <f>C1380*12</f>
        <v>60</v>
      </c>
      <c r="D1386" s="35" t="s">
        <v>508</v>
      </c>
    </row>
    <row r="1387" spans="2:4">
      <c r="B1387" s="3" t="s">
        <v>502</v>
      </c>
      <c r="C1387" s="7">
        <f>C1379/12</f>
        <v>2.0833333333333332E-2</v>
      </c>
      <c r="D1387" s="35" t="s">
        <v>509</v>
      </c>
    </row>
    <row r="1388" spans="2:4">
      <c r="B1388" s="3" t="s">
        <v>16</v>
      </c>
      <c r="C1388" s="10">
        <f>PV(C1387,C1386,-C1385)</f>
        <v>18479.57562399119</v>
      </c>
      <c r="D1388" s="136"/>
    </row>
    <row r="1389" spans="2:4">
      <c r="B1389" s="3" t="s">
        <v>20</v>
      </c>
      <c r="C1389" s="3">
        <f>C1381-C1380</f>
        <v>10</v>
      </c>
      <c r="D1389" s="35" t="s">
        <v>510</v>
      </c>
    </row>
    <row r="1390" spans="2:4">
      <c r="B1390" s="3" t="s">
        <v>15</v>
      </c>
      <c r="C1390" s="7">
        <f>C1389/C1381</f>
        <v>0.66666666666666663</v>
      </c>
      <c r="D1390" s="35" t="s">
        <v>511</v>
      </c>
    </row>
    <row r="1391" spans="2:4">
      <c r="B1391" s="3" t="s">
        <v>506</v>
      </c>
      <c r="C1391" s="3">
        <f>C1373*C1390</f>
        <v>400000</v>
      </c>
    </row>
    <row r="1392" spans="2:4">
      <c r="B1392" s="3" t="s">
        <v>13</v>
      </c>
      <c r="C1392" s="15">
        <f>C1373-C1391-C1388</f>
        <v>181520.4243760088</v>
      </c>
    </row>
    <row r="1393" spans="2:9">
      <c r="B1393" s="28" t="s">
        <v>507</v>
      </c>
      <c r="C1393" s="3"/>
    </row>
    <row r="1394" spans="2:9">
      <c r="B1394" s="3" t="s">
        <v>13</v>
      </c>
      <c r="C1394" s="3">
        <f>C1373*(1-C1390)-C1388</f>
        <v>181520.42437600883</v>
      </c>
    </row>
    <row r="1395" spans="2:9">
      <c r="B1395" s="3" t="s">
        <v>13</v>
      </c>
      <c r="C1395" s="3">
        <f>C1373*C1380/C1381-C1388</f>
        <v>181520.4243760088</v>
      </c>
    </row>
    <row r="1402" spans="2:9" ht="19.5" thickBot="1"/>
    <row r="1403" spans="2:9" ht="63" customHeight="1" thickBot="1">
      <c r="B1403" s="226" t="s">
        <v>512</v>
      </c>
      <c r="C1403" s="227"/>
      <c r="D1403" s="227"/>
      <c r="E1403" s="227"/>
      <c r="F1403" s="227"/>
      <c r="G1403" s="227"/>
      <c r="H1403" s="227"/>
      <c r="I1403" s="228"/>
    </row>
    <row r="1406" spans="2:9">
      <c r="B1406" s="3" t="s">
        <v>513</v>
      </c>
      <c r="C1406" s="3">
        <v>3000</v>
      </c>
    </row>
    <row r="1407" spans="2:9">
      <c r="B1407" s="3" t="s">
        <v>514</v>
      </c>
      <c r="C1407" s="3">
        <v>2000</v>
      </c>
    </row>
    <row r="1408" spans="2:9">
      <c r="B1408" s="3" t="s">
        <v>465</v>
      </c>
      <c r="C1408" s="3">
        <v>0.7</v>
      </c>
    </row>
    <row r="1409" spans="2:9">
      <c r="B1409" s="6" t="s">
        <v>7</v>
      </c>
      <c r="C1409" s="3"/>
    </row>
    <row r="1410" spans="2:9">
      <c r="B1410" s="3" t="s">
        <v>126</v>
      </c>
      <c r="C1410" s="50">
        <f>1-(C1407/C1406)^C1408</f>
        <v>0.24710204302876304</v>
      </c>
    </row>
    <row r="1417" spans="2:9" ht="19.5" thickBot="1"/>
    <row r="1418" spans="2:9" ht="108.75" customHeight="1" thickBot="1">
      <c r="B1418" s="226" t="s">
        <v>993</v>
      </c>
      <c r="C1418" s="227"/>
      <c r="D1418" s="227"/>
      <c r="E1418" s="227"/>
      <c r="F1418" s="227"/>
      <c r="G1418" s="227"/>
      <c r="H1418" s="227"/>
      <c r="I1418" s="228"/>
    </row>
    <row r="1421" spans="2:9">
      <c r="B1421" s="3" t="s">
        <v>485</v>
      </c>
      <c r="C1421" s="18">
        <v>2007</v>
      </c>
    </row>
    <row r="1422" spans="2:9">
      <c r="B1422" s="3" t="s">
        <v>83</v>
      </c>
      <c r="C1422" s="18">
        <v>2017</v>
      </c>
    </row>
    <row r="1423" spans="2:9">
      <c r="B1423" s="3" t="s">
        <v>34</v>
      </c>
      <c r="C1423" s="18">
        <v>10</v>
      </c>
    </row>
    <row r="1424" spans="2:9">
      <c r="B1424" s="3" t="s">
        <v>516</v>
      </c>
      <c r="C1424" s="9">
        <v>0.9</v>
      </c>
    </row>
    <row r="1425" spans="2:9">
      <c r="B1425" s="3" t="s">
        <v>515</v>
      </c>
      <c r="C1425" s="3">
        <v>2000000</v>
      </c>
    </row>
    <row r="1426" spans="2:9">
      <c r="B1426" s="3" t="s">
        <v>312</v>
      </c>
      <c r="C1426" s="3">
        <v>2500000</v>
      </c>
    </row>
    <row r="1427" spans="2:9">
      <c r="B1427" s="3" t="s">
        <v>98</v>
      </c>
      <c r="C1427" s="3">
        <v>250000</v>
      </c>
    </row>
    <row r="1428" spans="2:9">
      <c r="B1428" s="3" t="s">
        <v>7</v>
      </c>
      <c r="C1428" s="3"/>
    </row>
    <row r="1429" spans="2:9">
      <c r="B1429" s="3" t="s">
        <v>14</v>
      </c>
      <c r="C1429" s="3">
        <f>C1426+C1427</f>
        <v>2750000</v>
      </c>
      <c r="D1429" s="35" t="s">
        <v>517</v>
      </c>
    </row>
    <row r="1430" spans="2:9">
      <c r="B1430" s="3" t="s">
        <v>874</v>
      </c>
      <c r="C1430" s="9">
        <f>(C1422-C1421)/C1423</f>
        <v>1</v>
      </c>
      <c r="D1430" s="35" t="s">
        <v>518</v>
      </c>
    </row>
    <row r="1431" spans="2:9">
      <c r="B1431" s="3" t="s">
        <v>13</v>
      </c>
      <c r="C1431" s="15">
        <f>C1429*(1-C1424)</f>
        <v>274999.99999999994</v>
      </c>
      <c r="D1431" s="35" t="s">
        <v>519</v>
      </c>
    </row>
    <row r="1438" spans="2:9" ht="19.5" thickBot="1"/>
    <row r="1439" spans="2:9" ht="119.25" customHeight="1" thickBot="1">
      <c r="B1439" s="226" t="s">
        <v>995</v>
      </c>
      <c r="C1439" s="227"/>
      <c r="D1439" s="227"/>
      <c r="E1439" s="227"/>
      <c r="F1439" s="227"/>
      <c r="G1439" s="227"/>
      <c r="H1439" s="227"/>
      <c r="I1439" s="228"/>
    </row>
    <row r="1441" spans="2:7" ht="19.5" thickBot="1"/>
    <row r="1442" spans="2:7">
      <c r="B1442" s="57"/>
      <c r="C1442" s="58" t="s">
        <v>522</v>
      </c>
      <c r="D1442" s="58" t="s">
        <v>520</v>
      </c>
      <c r="E1442" s="59" t="s">
        <v>521</v>
      </c>
    </row>
    <row r="1443" spans="2:7">
      <c r="B1443" s="60" t="s">
        <v>523</v>
      </c>
      <c r="C1443" s="5">
        <v>3</v>
      </c>
      <c r="D1443" s="5">
        <v>2</v>
      </c>
      <c r="E1443" s="66">
        <v>0</v>
      </c>
    </row>
    <row r="1444" spans="2:7">
      <c r="B1444" s="60" t="s">
        <v>524</v>
      </c>
      <c r="C1444" s="22">
        <v>0.6</v>
      </c>
      <c r="D1444" s="22">
        <v>0</v>
      </c>
      <c r="E1444" s="61"/>
    </row>
    <row r="1445" spans="2:7">
      <c r="B1445" s="60" t="s">
        <v>525</v>
      </c>
      <c r="C1445" s="5">
        <v>5</v>
      </c>
      <c r="D1445" s="5">
        <v>0</v>
      </c>
      <c r="E1445" s="61"/>
      <c r="F1445" s="98"/>
    </row>
    <row r="1446" spans="2:7">
      <c r="B1446" s="60" t="s">
        <v>526</v>
      </c>
      <c r="C1446" s="5">
        <v>-2</v>
      </c>
      <c r="D1446" s="5">
        <v>0</v>
      </c>
      <c r="E1446" s="61"/>
    </row>
    <row r="1447" spans="2:7">
      <c r="B1447" s="60" t="s">
        <v>527</v>
      </c>
      <c r="C1447" s="53">
        <f>C1445+C1446</f>
        <v>3</v>
      </c>
      <c r="D1447" s="5">
        <v>0</v>
      </c>
      <c r="E1447" s="66">
        <v>4</v>
      </c>
    </row>
    <row r="1448" spans="2:7">
      <c r="B1448" s="60" t="s">
        <v>528</v>
      </c>
      <c r="C1448" s="5"/>
      <c r="D1448" s="5"/>
      <c r="E1448" s="66">
        <v>7</v>
      </c>
    </row>
    <row r="1449" spans="2:7">
      <c r="B1449" s="60" t="s">
        <v>265</v>
      </c>
      <c r="C1449" s="54">
        <f>1/(C1444/C1445)</f>
        <v>8.3333333333333339</v>
      </c>
      <c r="D1449" s="143">
        <v>6</v>
      </c>
      <c r="E1449" s="67">
        <f>E1447+E1448</f>
        <v>11</v>
      </c>
    </row>
    <row r="1450" spans="2:7">
      <c r="B1450" s="60" t="s">
        <v>530</v>
      </c>
      <c r="C1450" s="5">
        <v>1</v>
      </c>
      <c r="D1450" s="55">
        <v>1.5</v>
      </c>
      <c r="E1450" s="66">
        <v>1</v>
      </c>
      <c r="F1450" s="24" t="s">
        <v>531</v>
      </c>
    </row>
    <row r="1451" spans="2:7">
      <c r="B1451" s="60" t="s">
        <v>529</v>
      </c>
      <c r="C1451" s="4">
        <v>200000</v>
      </c>
      <c r="D1451" s="54">
        <f>200000*1.18</f>
        <v>236000</v>
      </c>
      <c r="E1451" s="61">
        <v>300000</v>
      </c>
      <c r="F1451" s="24" t="s">
        <v>535</v>
      </c>
    </row>
    <row r="1452" spans="2:7">
      <c r="B1452" s="60" t="s">
        <v>532</v>
      </c>
      <c r="C1452" s="22">
        <v>0.1</v>
      </c>
      <c r="D1452" s="22">
        <v>0.1</v>
      </c>
      <c r="E1452" s="68">
        <v>0.1</v>
      </c>
      <c r="F1452" s="24"/>
    </row>
    <row r="1453" spans="2:7">
      <c r="B1453" s="60" t="s">
        <v>533</v>
      </c>
      <c r="C1453" s="21">
        <f>C1447/C1449</f>
        <v>0.36</v>
      </c>
      <c r="D1453" s="21">
        <f>D1447/D1449</f>
        <v>0</v>
      </c>
      <c r="E1453" s="62">
        <f>E1447/E1449</f>
        <v>0.36363636363636365</v>
      </c>
      <c r="F1453" s="24" t="s">
        <v>511</v>
      </c>
    </row>
    <row r="1454" spans="2:7">
      <c r="B1454" s="60" t="s">
        <v>534</v>
      </c>
      <c r="C1454" s="4">
        <f>C1451/(1-C1444)</f>
        <v>500000</v>
      </c>
      <c r="D1454" s="4">
        <f>D1451/(1-D1444)</f>
        <v>236000</v>
      </c>
      <c r="E1454" s="61">
        <f>E1451/(1-E1447/E1449)</f>
        <v>471428.57142857142</v>
      </c>
      <c r="F1454" s="24" t="s">
        <v>905</v>
      </c>
    </row>
    <row r="1455" spans="2:7">
      <c r="B1455" s="60" t="s">
        <v>541</v>
      </c>
      <c r="C1455" s="54">
        <f>C1454*(1+C1452)^C1443</f>
        <v>665500.00000000023</v>
      </c>
      <c r="D1455" s="54">
        <f>D1454*(1+D1452)^D1443</f>
        <v>285560.00000000006</v>
      </c>
      <c r="E1455" s="69">
        <f>E1454*(1+E1452)^E1443</f>
        <v>471428.57142857142</v>
      </c>
      <c r="F1455" s="2">
        <f>SUM(C1455:E1455)</f>
        <v>1422488.5714285716</v>
      </c>
      <c r="G1455" s="24" t="s">
        <v>548</v>
      </c>
    </row>
    <row r="1456" spans="2:7">
      <c r="B1456" s="60" t="s">
        <v>536</v>
      </c>
      <c r="C1456" s="4">
        <f>C1455/1.18</f>
        <v>563983.05084745784</v>
      </c>
      <c r="D1456" s="4">
        <f t="shared" ref="D1456:E1456" si="0">D1455/1.18</f>
        <v>242000.00000000006</v>
      </c>
      <c r="E1456" s="61">
        <f t="shared" si="0"/>
        <v>399515.73849878937</v>
      </c>
      <c r="F1456" s="24" t="s">
        <v>537</v>
      </c>
      <c r="G1456" s="24"/>
    </row>
    <row r="1457" spans="2:8">
      <c r="B1457" s="60" t="s">
        <v>538</v>
      </c>
      <c r="C1457" s="4">
        <f>(C1443+C1447)*C1450</f>
        <v>6</v>
      </c>
      <c r="D1457" s="4">
        <f>(D1443+D1447)*D1450</f>
        <v>3</v>
      </c>
      <c r="E1457" s="61">
        <f>(E1443+E1447)*E1450</f>
        <v>4</v>
      </c>
      <c r="F1457" s="24" t="s">
        <v>539</v>
      </c>
    </row>
    <row r="1458" spans="2:8">
      <c r="B1458" s="60" t="s">
        <v>371</v>
      </c>
      <c r="C1458" s="21">
        <f>C1457/C1449</f>
        <v>0.72</v>
      </c>
      <c r="D1458" s="21">
        <f>D1457/D1449</f>
        <v>0.5</v>
      </c>
      <c r="E1458" s="62">
        <f>E1457/E1449</f>
        <v>0.36363636363636365</v>
      </c>
      <c r="F1458" s="24" t="s">
        <v>555</v>
      </c>
    </row>
    <row r="1459" spans="2:8">
      <c r="B1459" s="60" t="s">
        <v>540</v>
      </c>
      <c r="C1459" s="4">
        <f>C1455*C1458</f>
        <v>479160.00000000017</v>
      </c>
      <c r="D1459" s="4">
        <f>D1455*D1458</f>
        <v>142780.00000000003</v>
      </c>
      <c r="E1459" s="61">
        <f>E1455*E1458</f>
        <v>171428.57142857142</v>
      </c>
      <c r="F1459" s="11">
        <f>SUM(C1459:E1459)</f>
        <v>793368.57142857159</v>
      </c>
    </row>
    <row r="1460" spans="2:8">
      <c r="B1460" s="60" t="s">
        <v>542</v>
      </c>
      <c r="C1460" s="4">
        <f>C1455-C1459</f>
        <v>186340.00000000006</v>
      </c>
      <c r="D1460" s="4">
        <f>D1455-D1459</f>
        <v>142780.00000000003</v>
      </c>
      <c r="E1460" s="61">
        <f>E1455-E1459</f>
        <v>300000</v>
      </c>
      <c r="F1460" s="2">
        <f>SUM(C1460:E1460)</f>
        <v>629120.00000000012</v>
      </c>
    </row>
    <row r="1461" spans="2:8">
      <c r="B1461" s="60" t="s">
        <v>543</v>
      </c>
      <c r="C1461" s="56">
        <f>C1460/F1460</f>
        <v>0.29619150559511703</v>
      </c>
      <c r="D1461" s="56">
        <f>D1460/F1460</f>
        <v>0.22695193285859613</v>
      </c>
      <c r="E1461" s="70">
        <f>E1460/F1460</f>
        <v>0.47685656154628681</v>
      </c>
    </row>
    <row r="1462" spans="2:8">
      <c r="B1462" s="60" t="s">
        <v>544</v>
      </c>
      <c r="C1462" s="21">
        <f>1/C1449</f>
        <v>0.12</v>
      </c>
      <c r="D1462" s="21">
        <f>1/D1449</f>
        <v>0.16666666666666666</v>
      </c>
      <c r="E1462" s="62">
        <f>1/E1449</f>
        <v>9.0909090909090912E-2</v>
      </c>
      <c r="F1462" s="24" t="s">
        <v>545</v>
      </c>
    </row>
    <row r="1463" spans="2:8" ht="19.5" thickBot="1">
      <c r="B1463" s="63" t="s">
        <v>546</v>
      </c>
      <c r="C1463" s="71">
        <f>C1455*C1462</f>
        <v>79860.000000000029</v>
      </c>
      <c r="D1463" s="71">
        <f>D1455*D1462</f>
        <v>47593.333333333343</v>
      </c>
      <c r="E1463" s="72">
        <f>E1455*E1462</f>
        <v>42857.142857142855</v>
      </c>
      <c r="F1463" s="2">
        <f>SUM(C1463:E1463)</f>
        <v>170310.47619047621</v>
      </c>
      <c r="G1463" s="51">
        <f>F1463/F1455</f>
        <v>0.11972713145908612</v>
      </c>
      <c r="H1463" s="24" t="s">
        <v>547</v>
      </c>
    </row>
    <row r="1464" spans="2:8">
      <c r="B1464" s="57" t="s">
        <v>550</v>
      </c>
      <c r="C1464" s="58">
        <f>C1455*(1+C1452)</f>
        <v>732050.00000000035</v>
      </c>
      <c r="D1464" s="58">
        <f>D1455*(1+D1452)</f>
        <v>314116.00000000012</v>
      </c>
      <c r="E1464" s="59">
        <f>E1455*(1+E1452)</f>
        <v>518571.42857142858</v>
      </c>
      <c r="F1464" s="2">
        <f>SUM(C1464:E1464)</f>
        <v>1564737.4285714291</v>
      </c>
      <c r="G1464" s="24"/>
      <c r="H1464" s="24" t="s">
        <v>549</v>
      </c>
    </row>
    <row r="1465" spans="2:8">
      <c r="B1465" s="60" t="s">
        <v>551</v>
      </c>
      <c r="C1465" s="4">
        <f>C1457+C1450</f>
        <v>7</v>
      </c>
      <c r="D1465" s="4">
        <f>D1457+D1450</f>
        <v>4.5</v>
      </c>
      <c r="E1465" s="61">
        <f>E1457+E1450</f>
        <v>5</v>
      </c>
    </row>
    <row r="1466" spans="2:8">
      <c r="B1466" s="60" t="s">
        <v>552</v>
      </c>
      <c r="C1466" s="21">
        <f>C1465/C1449</f>
        <v>0.84</v>
      </c>
      <c r="D1466" s="21">
        <f>D1465/D1449</f>
        <v>0.75</v>
      </c>
      <c r="E1466" s="62">
        <f>E1465/E1449</f>
        <v>0.45454545454545453</v>
      </c>
    </row>
    <row r="1467" spans="2:8">
      <c r="B1467" s="60" t="s">
        <v>552</v>
      </c>
      <c r="C1467" s="4">
        <f>C1464*C1466</f>
        <v>614922.00000000023</v>
      </c>
      <c r="D1467" s="4">
        <f t="shared" ref="D1467:E1467" si="1">D1464*D1466</f>
        <v>235587.00000000009</v>
      </c>
      <c r="E1467" s="61">
        <f t="shared" si="1"/>
        <v>235714.28571428571</v>
      </c>
      <c r="F1467" s="2">
        <f>SUM(C1467:E1467)</f>
        <v>1086223.2857142861</v>
      </c>
      <c r="G1467" s="51">
        <f>F1467/F1464</f>
        <v>0.69418885614948456</v>
      </c>
      <c r="H1467" s="24" t="s">
        <v>554</v>
      </c>
    </row>
    <row r="1468" spans="2:8">
      <c r="B1468" s="60" t="s">
        <v>543</v>
      </c>
      <c r="C1468" s="4">
        <f>C1464/F1464</f>
        <v>0.46784207154062002</v>
      </c>
      <c r="D1468" s="4">
        <f>D1464/F1464</f>
        <v>0.20074677978833874</v>
      </c>
      <c r="E1468" s="61">
        <f>E1464/F1464</f>
        <v>0.33141114867104121</v>
      </c>
      <c r="F1468" s="2"/>
      <c r="G1468" s="51"/>
      <c r="H1468" s="24"/>
    </row>
    <row r="1469" spans="2:8" ht="19.5" thickBot="1">
      <c r="B1469" s="63" t="s">
        <v>552</v>
      </c>
      <c r="C1469" s="64">
        <f>C1466*C1468</f>
        <v>0.39298734009412079</v>
      </c>
      <c r="D1469" s="64">
        <f t="shared" ref="D1469:E1469" si="2">D1466*D1468</f>
        <v>0.15056008484125405</v>
      </c>
      <c r="E1469" s="65">
        <f t="shared" si="2"/>
        <v>0.15064143121410964</v>
      </c>
      <c r="F1469" s="52">
        <f>SUM(C1469:E1469)</f>
        <v>0.69418885614948456</v>
      </c>
      <c r="G1469" s="24" t="s">
        <v>553</v>
      </c>
      <c r="H1469" s="24"/>
    </row>
    <row r="1476" spans="2:9" ht="19.5" thickBot="1"/>
    <row r="1477" spans="2:9" ht="132" customHeight="1" thickBot="1">
      <c r="B1477" s="226" t="s">
        <v>994</v>
      </c>
      <c r="C1477" s="227"/>
      <c r="D1477" s="227"/>
      <c r="E1477" s="227"/>
      <c r="F1477" s="227"/>
      <c r="G1477" s="227"/>
      <c r="H1477" s="227"/>
      <c r="I1477" s="228"/>
    </row>
    <row r="1479" spans="2:9" ht="19.5" thickBot="1"/>
    <row r="1480" spans="2:9">
      <c r="B1480" s="57"/>
      <c r="C1480" s="58" t="s">
        <v>522</v>
      </c>
      <c r="D1480" s="58" t="s">
        <v>520</v>
      </c>
      <c r="E1480" s="59" t="s">
        <v>521</v>
      </c>
    </row>
    <row r="1481" spans="2:9">
      <c r="B1481" s="60" t="s">
        <v>523</v>
      </c>
      <c r="C1481" s="5">
        <v>3</v>
      </c>
      <c r="D1481" s="5">
        <v>2</v>
      </c>
      <c r="E1481" s="66">
        <v>0</v>
      </c>
    </row>
    <row r="1482" spans="2:9">
      <c r="B1482" s="60" t="s">
        <v>524</v>
      </c>
      <c r="C1482" s="22">
        <v>0.6</v>
      </c>
      <c r="D1482" s="22">
        <v>0</v>
      </c>
      <c r="E1482" s="61"/>
    </row>
    <row r="1483" spans="2:9">
      <c r="B1483" s="60" t="s">
        <v>525</v>
      </c>
      <c r="C1483" s="5">
        <v>5</v>
      </c>
      <c r="D1483" s="5">
        <v>0</v>
      </c>
      <c r="E1483" s="61"/>
    </row>
    <row r="1484" spans="2:9">
      <c r="B1484" s="60" t="s">
        <v>526</v>
      </c>
      <c r="C1484" s="5">
        <v>-2</v>
      </c>
      <c r="D1484" s="5">
        <v>0</v>
      </c>
      <c r="E1484" s="61"/>
    </row>
    <row r="1485" spans="2:9">
      <c r="B1485" s="60" t="s">
        <v>527</v>
      </c>
      <c r="C1485" s="53">
        <f>C1483+C1484</f>
        <v>3</v>
      </c>
      <c r="D1485" s="5">
        <v>0</v>
      </c>
      <c r="E1485" s="66">
        <v>4</v>
      </c>
    </row>
    <row r="1486" spans="2:9">
      <c r="B1486" s="60" t="s">
        <v>528</v>
      </c>
      <c r="C1486" s="5"/>
      <c r="D1486" s="5"/>
      <c r="E1486" s="66">
        <v>7</v>
      </c>
    </row>
    <row r="1487" spans="2:9">
      <c r="B1487" s="60" t="s">
        <v>265</v>
      </c>
      <c r="C1487" s="54">
        <f>1/(C1482/C1483)</f>
        <v>8.3333333333333339</v>
      </c>
      <c r="D1487" s="143">
        <v>12</v>
      </c>
      <c r="E1487" s="67">
        <f>E1485+E1486</f>
        <v>11</v>
      </c>
    </row>
    <row r="1488" spans="2:9">
      <c r="B1488" s="60" t="s">
        <v>530</v>
      </c>
      <c r="C1488" s="5">
        <v>1</v>
      </c>
      <c r="D1488" s="55">
        <v>1.5</v>
      </c>
      <c r="E1488" s="66">
        <v>1</v>
      </c>
      <c r="F1488" s="24" t="s">
        <v>531</v>
      </c>
    </row>
    <row r="1489" spans="2:8">
      <c r="B1489" s="60" t="s">
        <v>529</v>
      </c>
      <c r="C1489" s="4">
        <v>200000</v>
      </c>
      <c r="D1489" s="54">
        <f>200000*1.18</f>
        <v>236000</v>
      </c>
      <c r="E1489" s="61">
        <v>300000</v>
      </c>
      <c r="F1489" s="24" t="s">
        <v>535</v>
      </c>
    </row>
    <row r="1490" spans="2:8">
      <c r="B1490" s="60" t="s">
        <v>532</v>
      </c>
      <c r="C1490" s="22">
        <v>0.1</v>
      </c>
      <c r="D1490" s="22">
        <v>0.1</v>
      </c>
      <c r="E1490" s="68">
        <v>0.1</v>
      </c>
    </row>
    <row r="1491" spans="2:8">
      <c r="B1491" s="60" t="s">
        <v>533</v>
      </c>
      <c r="C1491" s="21">
        <f>C1485/C1487</f>
        <v>0.36</v>
      </c>
      <c r="D1491" s="21">
        <f>D1485/D1487</f>
        <v>0</v>
      </c>
      <c r="E1491" s="62">
        <f>E1485/E1487</f>
        <v>0.36363636363636365</v>
      </c>
      <c r="F1491" s="24" t="s">
        <v>511</v>
      </c>
    </row>
    <row r="1492" spans="2:8">
      <c r="B1492" s="60" t="s">
        <v>534</v>
      </c>
      <c r="C1492" s="4">
        <f>C1489/(1-C1482)</f>
        <v>500000</v>
      </c>
      <c r="D1492" s="4">
        <f>D1489/(1-D1482)</f>
        <v>236000</v>
      </c>
      <c r="E1492" s="61">
        <f>E1489/(1-E1485/E1487)</f>
        <v>471428.57142857142</v>
      </c>
      <c r="F1492" s="24" t="s">
        <v>905</v>
      </c>
    </row>
    <row r="1493" spans="2:8">
      <c r="B1493" s="60" t="s">
        <v>541</v>
      </c>
      <c r="C1493" s="54">
        <f>C1492*(1+C1490)^C1481</f>
        <v>665500.00000000023</v>
      </c>
      <c r="D1493" s="54">
        <f>D1492*(1+D1490)^D1481</f>
        <v>285560.00000000006</v>
      </c>
      <c r="E1493" s="69">
        <f>E1492*(1+E1490)^E1481</f>
        <v>471428.57142857142</v>
      </c>
      <c r="F1493" s="2">
        <f>SUM(C1493:E1493)</f>
        <v>1422488.5714285716</v>
      </c>
      <c r="G1493" s="24" t="s">
        <v>548</v>
      </c>
    </row>
    <row r="1494" spans="2:8">
      <c r="B1494" s="60" t="s">
        <v>536</v>
      </c>
      <c r="C1494" s="4">
        <f>C1493/1.18</f>
        <v>563983.05084745784</v>
      </c>
      <c r="D1494" s="4">
        <f t="shared" ref="D1494:E1494" si="3">D1493/1.18</f>
        <v>242000.00000000006</v>
      </c>
      <c r="E1494" s="61">
        <f t="shared" si="3"/>
        <v>399515.73849878937</v>
      </c>
      <c r="F1494" s="24" t="s">
        <v>537</v>
      </c>
      <c r="G1494" s="24"/>
    </row>
    <row r="1495" spans="2:8">
      <c r="B1495" s="60" t="s">
        <v>538</v>
      </c>
      <c r="C1495" s="4">
        <f>(C1481+C1485)*C1488</f>
        <v>6</v>
      </c>
      <c r="D1495" s="4">
        <f>(D1481+D1485)*D1488</f>
        <v>3</v>
      </c>
      <c r="E1495" s="61">
        <f>(E1481+E1485)*E1488</f>
        <v>4</v>
      </c>
      <c r="F1495" s="24" t="s">
        <v>539</v>
      </c>
    </row>
    <row r="1496" spans="2:8">
      <c r="B1496" s="60" t="s">
        <v>371</v>
      </c>
      <c r="C1496" s="21">
        <f>C1495/C1487</f>
        <v>0.72</v>
      </c>
      <c r="D1496" s="21">
        <f>D1495/D1487</f>
        <v>0.25</v>
      </c>
      <c r="E1496" s="62">
        <f>E1495/E1487</f>
        <v>0.36363636363636365</v>
      </c>
      <c r="F1496" s="24" t="s">
        <v>555</v>
      </c>
    </row>
    <row r="1497" spans="2:8">
      <c r="B1497" s="60" t="s">
        <v>540</v>
      </c>
      <c r="C1497" s="4">
        <f>C1493*C1496</f>
        <v>479160.00000000017</v>
      </c>
      <c r="D1497" s="4">
        <f>D1493*D1496</f>
        <v>71390.000000000015</v>
      </c>
      <c r="E1497" s="61">
        <f>E1493*E1496</f>
        <v>171428.57142857142</v>
      </c>
      <c r="F1497" s="2">
        <f>SUM(C1497:E1497)</f>
        <v>721978.57142857159</v>
      </c>
    </row>
    <row r="1498" spans="2:8">
      <c r="B1498" s="60" t="s">
        <v>542</v>
      </c>
      <c r="C1498" s="4">
        <f>C1493-C1497</f>
        <v>186340.00000000006</v>
      </c>
      <c r="D1498" s="4">
        <f>D1493-D1497</f>
        <v>214170.00000000006</v>
      </c>
      <c r="E1498" s="61">
        <f>E1493-E1497</f>
        <v>300000</v>
      </c>
      <c r="F1498" s="2">
        <f>SUM(C1498:E1498)</f>
        <v>700510.00000000012</v>
      </c>
    </row>
    <row r="1499" spans="2:8">
      <c r="B1499" s="60" t="s">
        <v>543</v>
      </c>
      <c r="C1499" s="56">
        <f>C1498/F1498</f>
        <v>0.26600619548614585</v>
      </c>
      <c r="D1499" s="56">
        <f>D1498/F1498</f>
        <v>0.30573439351329751</v>
      </c>
      <c r="E1499" s="201">
        <f>E1498/F1498</f>
        <v>0.42825941100055664</v>
      </c>
    </row>
    <row r="1500" spans="2:8">
      <c r="B1500" s="60" t="s">
        <v>544</v>
      </c>
      <c r="C1500" s="21">
        <f>1/C1487</f>
        <v>0.12</v>
      </c>
      <c r="D1500" s="21">
        <f>1/D1487</f>
        <v>8.3333333333333329E-2</v>
      </c>
      <c r="E1500" s="62">
        <f>1/E1487</f>
        <v>9.0909090909090912E-2</v>
      </c>
      <c r="F1500" s="24" t="s">
        <v>545</v>
      </c>
    </row>
    <row r="1501" spans="2:8" ht="19.5" thickBot="1">
      <c r="B1501" s="63" t="s">
        <v>546</v>
      </c>
      <c r="C1501" s="71">
        <f>C1493*C1500</f>
        <v>79860.000000000029</v>
      </c>
      <c r="D1501" s="71">
        <f>D1493*D1500</f>
        <v>23796.666666666672</v>
      </c>
      <c r="E1501" s="72">
        <f>E1493*E1500</f>
        <v>42857.142857142855</v>
      </c>
      <c r="F1501" s="2">
        <f>SUM(C1501:E1501)</f>
        <v>146513.80952380956</v>
      </c>
      <c r="G1501" s="51">
        <f>F1501/F1493</f>
        <v>0.10299823314339124</v>
      </c>
      <c r="H1501" s="24" t="s">
        <v>547</v>
      </c>
    </row>
    <row r="1502" spans="2:8">
      <c r="B1502" s="57" t="s">
        <v>550</v>
      </c>
      <c r="C1502" s="58">
        <f>C1493*(1+C1490)</f>
        <v>732050.00000000035</v>
      </c>
      <c r="D1502" s="58">
        <f t="shared" ref="D1502:E1502" si="4">D1493*(1+D1490)</f>
        <v>314116.00000000012</v>
      </c>
      <c r="E1502" s="59">
        <f t="shared" si="4"/>
        <v>518571.42857142858</v>
      </c>
      <c r="F1502" s="2">
        <f>SUM(C1502:E1502)</f>
        <v>1564737.4285714291</v>
      </c>
      <c r="G1502" s="24"/>
      <c r="H1502" s="24" t="s">
        <v>549</v>
      </c>
    </row>
    <row r="1503" spans="2:8">
      <c r="B1503" s="60" t="s">
        <v>551</v>
      </c>
      <c r="C1503" s="4">
        <f>C1495+C1488</f>
        <v>7</v>
      </c>
      <c r="D1503" s="4">
        <f>D1495+D1488</f>
        <v>4.5</v>
      </c>
      <c r="E1503" s="61">
        <f>E1495+E1488</f>
        <v>5</v>
      </c>
    </row>
    <row r="1504" spans="2:8">
      <c r="B1504" s="60" t="s">
        <v>552</v>
      </c>
      <c r="C1504" s="21">
        <f>C1503/C1487</f>
        <v>0.84</v>
      </c>
      <c r="D1504" s="21">
        <f>D1503/D1487</f>
        <v>0.375</v>
      </c>
      <c r="E1504" s="62">
        <f>E1503/E1487</f>
        <v>0.45454545454545453</v>
      </c>
    </row>
    <row r="1505" spans="2:9">
      <c r="B1505" s="60" t="s">
        <v>552</v>
      </c>
      <c r="C1505" s="4">
        <f>C1502*C1504</f>
        <v>614922.00000000023</v>
      </c>
      <c r="D1505" s="4">
        <f t="shared" ref="D1505:E1505" si="5">D1502*D1504</f>
        <v>117793.50000000004</v>
      </c>
      <c r="E1505" s="61">
        <f t="shared" si="5"/>
        <v>235714.28571428571</v>
      </c>
      <c r="F1505" s="2">
        <f>SUM(C1505:E1505)</f>
        <v>968429.78571428591</v>
      </c>
      <c r="G1505" s="51">
        <f>F1505/F1502</f>
        <v>0.61890881372885742</v>
      </c>
      <c r="H1505" s="24" t="s">
        <v>554</v>
      </c>
    </row>
    <row r="1506" spans="2:9">
      <c r="B1506" s="60" t="s">
        <v>543</v>
      </c>
      <c r="C1506" s="4">
        <f>C1502/F1502</f>
        <v>0.46784207154062002</v>
      </c>
      <c r="D1506" s="4">
        <f>D1502/F1502</f>
        <v>0.20074677978833874</v>
      </c>
      <c r="E1506" s="61">
        <f>E1502/F1502</f>
        <v>0.33141114867104121</v>
      </c>
      <c r="F1506" s="2"/>
      <c r="G1506" s="51"/>
      <c r="H1506" s="24"/>
    </row>
    <row r="1507" spans="2:9" ht="19.5" thickBot="1">
      <c r="B1507" s="63" t="s">
        <v>552</v>
      </c>
      <c r="C1507" s="64">
        <f>C1504*C1506</f>
        <v>0.39298734009412079</v>
      </c>
      <c r="D1507" s="64">
        <f t="shared" ref="D1507:E1507" si="6">D1504*D1506</f>
        <v>7.5280042420627025E-2</v>
      </c>
      <c r="E1507" s="65">
        <f t="shared" si="6"/>
        <v>0.15064143121410964</v>
      </c>
      <c r="F1507" s="52">
        <f>SUM(C1507:E1507)</f>
        <v>0.61890881372885742</v>
      </c>
      <c r="G1507" s="24" t="s">
        <v>553</v>
      </c>
      <c r="H1507" s="24"/>
    </row>
    <row r="1514" spans="2:9" ht="19.5" thickBot="1"/>
    <row r="1515" spans="2:9" ht="334.9" customHeight="1" thickBot="1">
      <c r="B1515" s="226" t="s">
        <v>1019</v>
      </c>
      <c r="C1515" s="227"/>
      <c r="D1515" s="227"/>
      <c r="E1515" s="227"/>
      <c r="F1515" s="227"/>
      <c r="G1515" s="227"/>
      <c r="H1515" s="227"/>
      <c r="I1515" s="228"/>
    </row>
    <row r="1517" spans="2:9">
      <c r="B1517" s="2" t="s">
        <v>1014</v>
      </c>
      <c r="C1517" s="156" t="s">
        <v>1015</v>
      </c>
      <c r="D1517" s="157" t="s">
        <v>1016</v>
      </c>
    </row>
    <row r="1518" spans="2:9">
      <c r="B1518" s="145" t="s">
        <v>23</v>
      </c>
      <c r="C1518" s="1">
        <v>65000000</v>
      </c>
      <c r="D1518" s="1" t="s">
        <v>735</v>
      </c>
    </row>
    <row r="1519" spans="2:9">
      <c r="B1519" s="2" t="s">
        <v>1017</v>
      </c>
      <c r="C1519" s="156" t="s">
        <v>1015</v>
      </c>
      <c r="D1519" s="157" t="s">
        <v>1016</v>
      </c>
    </row>
    <row r="1520" spans="2:9">
      <c r="B1520" s="145" t="s">
        <v>23</v>
      </c>
      <c r="C1520" s="1">
        <v>180000000</v>
      </c>
      <c r="D1520" s="1" t="s">
        <v>735</v>
      </c>
    </row>
    <row r="1521" spans="2:4">
      <c r="B1521" s="2" t="s">
        <v>1018</v>
      </c>
      <c r="C1521" s="156" t="s">
        <v>1015</v>
      </c>
      <c r="D1521" s="157" t="s">
        <v>1016</v>
      </c>
    </row>
    <row r="1522" spans="2:4">
      <c r="B1522" s="145" t="s">
        <v>23</v>
      </c>
      <c r="C1522" s="1">
        <v>35000000</v>
      </c>
      <c r="D1522" s="1" t="s">
        <v>735</v>
      </c>
    </row>
    <row r="1523" spans="2:4">
      <c r="B1523" s="2" t="s">
        <v>1020</v>
      </c>
      <c r="C1523" s="156" t="s">
        <v>1015</v>
      </c>
      <c r="D1523" s="156" t="s">
        <v>1021</v>
      </c>
    </row>
    <row r="1524" spans="2:4">
      <c r="B1524" s="145" t="s">
        <v>1022</v>
      </c>
      <c r="C1524" s="1">
        <v>75000000</v>
      </c>
      <c r="D1524" s="1" t="s">
        <v>735</v>
      </c>
    </row>
    <row r="1525" spans="2:4">
      <c r="B1525" s="145" t="s">
        <v>1023</v>
      </c>
      <c r="C1525" s="1">
        <v>15</v>
      </c>
    </row>
    <row r="1526" spans="2:4">
      <c r="B1526" s="145" t="s">
        <v>205</v>
      </c>
      <c r="C1526" s="1">
        <v>7</v>
      </c>
    </row>
    <row r="1527" spans="2:4">
      <c r="B1527" s="2" t="s">
        <v>1024</v>
      </c>
      <c r="C1527" s="128" t="s">
        <v>1025</v>
      </c>
    </row>
    <row r="1528" spans="2:4">
      <c r="B1528" s="145" t="s">
        <v>23</v>
      </c>
      <c r="C1528" s="1">
        <v>185000000</v>
      </c>
      <c r="D1528" s="1" t="s">
        <v>734</v>
      </c>
    </row>
    <row r="1529" spans="2:4">
      <c r="B1529" s="2" t="s">
        <v>1026</v>
      </c>
      <c r="C1529" s="156" t="s">
        <v>1015</v>
      </c>
      <c r="D1529" s="156" t="s">
        <v>1021</v>
      </c>
    </row>
    <row r="1530" spans="2:4">
      <c r="B1530" s="145" t="s">
        <v>1022</v>
      </c>
      <c r="C1530" s="1">
        <v>540000000</v>
      </c>
      <c r="D1530" s="1" t="s">
        <v>735</v>
      </c>
    </row>
    <row r="1531" spans="2:4">
      <c r="B1531" s="145"/>
      <c r="C1531" s="4" t="s">
        <v>1187</v>
      </c>
      <c r="D1531" s="4" t="s">
        <v>82</v>
      </c>
    </row>
    <row r="1532" spans="2:4">
      <c r="B1532" s="145" t="s">
        <v>15</v>
      </c>
      <c r="C1532" s="109">
        <v>0.2</v>
      </c>
      <c r="D1532" s="109">
        <v>0.2</v>
      </c>
    </row>
    <row r="1533" spans="2:4">
      <c r="B1533" s="145" t="s">
        <v>15</v>
      </c>
      <c r="C1533" s="109">
        <v>0.3</v>
      </c>
      <c r="D1533" s="109">
        <v>0.3</v>
      </c>
    </row>
    <row r="1534" spans="2:4">
      <c r="B1534" s="145" t="s">
        <v>15</v>
      </c>
      <c r="C1534" s="109">
        <v>0.5</v>
      </c>
      <c r="D1534" s="109">
        <v>0.5</v>
      </c>
    </row>
    <row r="1535" spans="2:4">
      <c r="B1535" s="2" t="s">
        <v>1027</v>
      </c>
      <c r="C1535" s="156" t="s">
        <v>1015</v>
      </c>
      <c r="D1535" s="156" t="s">
        <v>1021</v>
      </c>
    </row>
    <row r="1536" spans="2:4">
      <c r="B1536" s="145" t="s">
        <v>1188</v>
      </c>
      <c r="C1536" s="1">
        <v>110000000</v>
      </c>
      <c r="D1536" s="1" t="s">
        <v>735</v>
      </c>
    </row>
    <row r="1537" spans="2:4">
      <c r="B1537" s="145" t="s">
        <v>177</v>
      </c>
      <c r="C1537" s="105">
        <v>2013</v>
      </c>
      <c r="D1537" s="1" t="s">
        <v>1029</v>
      </c>
    </row>
    <row r="1538" spans="2:4">
      <c r="B1538" s="145" t="s">
        <v>83</v>
      </c>
      <c r="C1538" s="105">
        <v>2018</v>
      </c>
      <c r="D1538" s="1" t="s">
        <v>1029</v>
      </c>
    </row>
    <row r="1539" spans="2:4">
      <c r="B1539" s="145" t="s">
        <v>265</v>
      </c>
      <c r="C1539" s="105">
        <v>15</v>
      </c>
      <c r="D1539" s="1" t="s">
        <v>1028</v>
      </c>
    </row>
    <row r="1540" spans="2:4">
      <c r="B1540" s="145" t="s">
        <v>1030</v>
      </c>
      <c r="C1540" s="105">
        <v>11</v>
      </c>
      <c r="D1540" s="1" t="s">
        <v>1028</v>
      </c>
    </row>
    <row r="1541" spans="2:4">
      <c r="B1541" s="145" t="s">
        <v>1031</v>
      </c>
      <c r="C1541" s="111">
        <v>12.4</v>
      </c>
    </row>
    <row r="1542" spans="2:4">
      <c r="B1542" s="145" t="s">
        <v>1032</v>
      </c>
      <c r="C1542" s="111">
        <v>15.6</v>
      </c>
      <c r="D1542" s="35" t="s">
        <v>1186</v>
      </c>
    </row>
    <row r="1543" spans="2:4">
      <c r="B1543" s="2" t="s">
        <v>1033</v>
      </c>
      <c r="C1543" s="2">
        <v>600000000</v>
      </c>
      <c r="D1543" s="1" t="s">
        <v>735</v>
      </c>
    </row>
    <row r="1545" spans="2:4">
      <c r="B1545" s="1" t="s">
        <v>1034</v>
      </c>
    </row>
    <row r="1546" spans="2:4">
      <c r="B1546" s="157" t="s">
        <v>1035</v>
      </c>
      <c r="C1546" s="2">
        <f>C1518+C1520+C1522</f>
        <v>280000000</v>
      </c>
    </row>
    <row r="1547" spans="2:4">
      <c r="B1547" s="2"/>
    </row>
    <row r="1548" spans="2:4">
      <c r="B1548" s="1" t="s">
        <v>1036</v>
      </c>
    </row>
    <row r="1549" spans="2:4">
      <c r="B1549" s="145" t="s">
        <v>82</v>
      </c>
      <c r="C1549" s="146">
        <f>C1526/C1525</f>
        <v>0.46666666666666667</v>
      </c>
      <c r="D1549" s="35" t="s">
        <v>1047</v>
      </c>
    </row>
    <row r="1550" spans="2:4">
      <c r="B1550" s="145" t="s">
        <v>13</v>
      </c>
      <c r="C1550" s="1">
        <f>C1524*(1-C1549)</f>
        <v>40000000</v>
      </c>
    </row>
    <row r="1551" spans="2:4">
      <c r="B1551" s="1" t="s">
        <v>1037</v>
      </c>
    </row>
    <row r="1552" spans="2:4">
      <c r="B1552" s="145" t="s">
        <v>82</v>
      </c>
      <c r="C1552" s="146">
        <f>C1532*D1532+C1533*D1533+C1534*D1534</f>
        <v>0.38</v>
      </c>
      <c r="D1552" s="35" t="s">
        <v>1050</v>
      </c>
    </row>
    <row r="1553" spans="2:4">
      <c r="B1553" s="145" t="s">
        <v>13</v>
      </c>
      <c r="C1553" s="1">
        <f>C1530*(1-C1552)</f>
        <v>334800000</v>
      </c>
    </row>
    <row r="1554" spans="2:4">
      <c r="B1554" s="1" t="s">
        <v>1038</v>
      </c>
    </row>
    <row r="1555" spans="2:4">
      <c r="B1555" s="145" t="s">
        <v>205</v>
      </c>
      <c r="C1555" s="105">
        <f>C1539-C1540</f>
        <v>4</v>
      </c>
      <c r="D1555" s="35" t="s">
        <v>1046</v>
      </c>
    </row>
    <row r="1556" spans="2:4">
      <c r="B1556" s="145" t="s">
        <v>82</v>
      </c>
      <c r="C1556" s="146">
        <f>C1555/C1539</f>
        <v>0.26666666666666666</v>
      </c>
      <c r="D1556" s="35" t="s">
        <v>1047</v>
      </c>
    </row>
    <row r="1557" spans="2:4">
      <c r="B1557" s="145" t="s">
        <v>826</v>
      </c>
      <c r="C1557" s="1">
        <f>C1541/C1542</f>
        <v>0.79487179487179493</v>
      </c>
      <c r="D1557" s="35" t="s">
        <v>1039</v>
      </c>
    </row>
    <row r="1558" spans="2:4">
      <c r="B1558" s="145" t="s">
        <v>562</v>
      </c>
      <c r="C1558" s="1">
        <f>C1536*C1557</f>
        <v>87435897.43589744</v>
      </c>
      <c r="D1558" s="35" t="s">
        <v>1048</v>
      </c>
    </row>
    <row r="1559" spans="2:4">
      <c r="B1559" s="145" t="s">
        <v>13</v>
      </c>
      <c r="C1559" s="1">
        <f>C1558*(1-C1556)</f>
        <v>64119658.119658127</v>
      </c>
      <c r="D1559" s="35" t="s">
        <v>1185</v>
      </c>
    </row>
    <row r="1560" spans="2:4">
      <c r="B1560" s="156" t="s">
        <v>1040</v>
      </c>
      <c r="C1560" s="2">
        <f>C1550+C1553+C1559</f>
        <v>438919658.11965811</v>
      </c>
      <c r="D1560" s="35" t="s">
        <v>1049</v>
      </c>
    </row>
    <row r="1562" spans="2:4">
      <c r="B1562" s="2" t="s">
        <v>1041</v>
      </c>
      <c r="C1562" s="2">
        <f>C1543-C1546</f>
        <v>320000000</v>
      </c>
      <c r="D1562" s="35" t="s">
        <v>1042</v>
      </c>
    </row>
    <row r="1563" spans="2:4">
      <c r="D1563" s="136"/>
    </row>
    <row r="1564" spans="2:4">
      <c r="B1564" s="2" t="s">
        <v>47</v>
      </c>
      <c r="C1564" s="147">
        <f>1-C1562/C1560</f>
        <v>0.27093718843469594</v>
      </c>
      <c r="D1564" s="136"/>
    </row>
    <row r="1565" spans="2:4">
      <c r="D1565" s="136"/>
    </row>
    <row r="1566" spans="2:4">
      <c r="B1566" s="2" t="s">
        <v>1043</v>
      </c>
      <c r="C1566" s="11">
        <f>C1559*(1-C1564)</f>
        <v>46747258.225324035</v>
      </c>
      <c r="D1566" s="35" t="s">
        <v>1044</v>
      </c>
    </row>
    <row r="1567" spans="2:4">
      <c r="B1567" s="145" t="s">
        <v>507</v>
      </c>
      <c r="D1567" s="136"/>
    </row>
    <row r="1568" spans="2:4">
      <c r="B1568" s="2" t="s">
        <v>1043</v>
      </c>
      <c r="C1568" s="11">
        <f>C1536*C1557*(1-C1556)*(1-C1564)</f>
        <v>46747258.225324035</v>
      </c>
      <c r="D1568" s="35" t="s">
        <v>1045</v>
      </c>
    </row>
    <row r="1571" spans="2:9" ht="19.5" thickBot="1"/>
    <row r="1572" spans="2:9" ht="40.5" customHeight="1" thickBot="1">
      <c r="B1572" s="226" t="s">
        <v>996</v>
      </c>
      <c r="C1572" s="227"/>
      <c r="D1572" s="227"/>
      <c r="E1572" s="227"/>
      <c r="F1572" s="227"/>
      <c r="G1572" s="227"/>
      <c r="H1572" s="227"/>
      <c r="I1572" s="228"/>
    </row>
    <row r="1575" spans="2:9">
      <c r="B1575" s="3" t="s">
        <v>556</v>
      </c>
      <c r="C1575" s="3">
        <v>0.85</v>
      </c>
    </row>
    <row r="1576" spans="2:9">
      <c r="B1576" s="3" t="s">
        <v>557</v>
      </c>
      <c r="C1576" s="9">
        <v>1.1000000000000001</v>
      </c>
      <c r="D1576" s="24" t="s">
        <v>575</v>
      </c>
    </row>
    <row r="1577" spans="2:9">
      <c r="B1577" s="3" t="s">
        <v>558</v>
      </c>
      <c r="C1577" s="3">
        <v>1.4</v>
      </c>
      <c r="D1577" s="35" t="s">
        <v>997</v>
      </c>
    </row>
    <row r="1578" spans="2:9">
      <c r="B1578" s="3" t="s">
        <v>559</v>
      </c>
      <c r="C1578" s="3"/>
    </row>
    <row r="1579" spans="2:9">
      <c r="B1579" s="3" t="s">
        <v>560</v>
      </c>
      <c r="C1579" s="162">
        <f>C1575*(1+C1576)/C1577</f>
        <v>1.2750000000000001</v>
      </c>
    </row>
    <row r="1585" spans="2:9" ht="19.5" thickBot="1"/>
    <row r="1586" spans="2:9" ht="99" customHeight="1" thickBot="1">
      <c r="B1586" s="226" t="s">
        <v>998</v>
      </c>
      <c r="C1586" s="227"/>
      <c r="D1586" s="227"/>
      <c r="E1586" s="227"/>
      <c r="F1586" s="227"/>
      <c r="G1586" s="227"/>
      <c r="H1586" s="227"/>
      <c r="I1586" s="228"/>
    </row>
    <row r="1589" spans="2:9">
      <c r="B1589" s="3"/>
      <c r="C1589" s="4" t="s">
        <v>4</v>
      </c>
      <c r="D1589" s="4" t="s">
        <v>241</v>
      </c>
      <c r="E1589" s="4" t="s">
        <v>242</v>
      </c>
      <c r="F1589" s="4" t="s">
        <v>561</v>
      </c>
      <c r="G1589" s="4" t="s">
        <v>464</v>
      </c>
      <c r="H1589" s="4" t="s">
        <v>465</v>
      </c>
    </row>
    <row r="1590" spans="2:9">
      <c r="B1590" s="3" t="s">
        <v>562</v>
      </c>
      <c r="C1590" s="54">
        <f>D1590*(C1591/D1591)^H1591</f>
        <v>125794.13475322226</v>
      </c>
      <c r="D1590" s="4">
        <v>110000</v>
      </c>
      <c r="E1590" s="4">
        <v>100000</v>
      </c>
      <c r="F1590" s="4">
        <v>140000</v>
      </c>
      <c r="G1590" s="4">
        <f>LN(E1590/F1590)</f>
        <v>-0.33647223662121289</v>
      </c>
      <c r="H1590" s="4"/>
    </row>
    <row r="1591" spans="2:9">
      <c r="B1591" s="3" t="s">
        <v>563</v>
      </c>
      <c r="C1591" s="4">
        <v>150</v>
      </c>
      <c r="D1591" s="4">
        <v>120</v>
      </c>
      <c r="E1591" s="4">
        <v>100</v>
      </c>
      <c r="F1591" s="4">
        <v>175</v>
      </c>
      <c r="G1591" s="4">
        <f>LN(E1591/F1591)</f>
        <v>-0.55961578793542277</v>
      </c>
      <c r="H1591" s="4">
        <f>G1590/G1591</f>
        <v>0.60125579705774912</v>
      </c>
    </row>
    <row r="1592" spans="2:9">
      <c r="B1592" s="3" t="s">
        <v>564</v>
      </c>
      <c r="C1592" s="4">
        <v>1.7</v>
      </c>
      <c r="D1592" s="4"/>
      <c r="E1592" s="4"/>
      <c r="F1592" s="4"/>
      <c r="G1592" s="4"/>
      <c r="H1592" s="4"/>
    </row>
    <row r="1593" spans="2:9">
      <c r="B1593" s="3" t="s">
        <v>565</v>
      </c>
      <c r="C1593" s="172">
        <f>C1590*C1592</f>
        <v>213850.02908047783</v>
      </c>
      <c r="D1593" s="4"/>
      <c r="E1593" s="4"/>
      <c r="F1593" s="4"/>
      <c r="G1593" s="4"/>
      <c r="H1593" s="4"/>
    </row>
    <row r="1594" spans="2:9">
      <c r="C1594" s="29"/>
      <c r="D1594" s="29"/>
      <c r="E1594" s="29"/>
      <c r="F1594" s="29"/>
      <c r="G1594" s="29"/>
      <c r="H1594" s="29"/>
    </row>
    <row r="1595" spans="2:9">
      <c r="C1595" s="29"/>
      <c r="D1595" s="29"/>
      <c r="E1595" s="29"/>
      <c r="F1595" s="29"/>
      <c r="G1595" s="29"/>
      <c r="H1595" s="29"/>
    </row>
    <row r="1596" spans="2:9">
      <c r="C1596" s="29"/>
      <c r="D1596" s="29"/>
      <c r="E1596" s="29"/>
      <c r="F1596" s="29"/>
      <c r="G1596" s="29"/>
      <c r="H1596" s="29"/>
    </row>
    <row r="1600" spans="2:9" ht="19.5" thickBot="1"/>
    <row r="1601" spans="2:9" ht="39.75" customHeight="1" thickBot="1">
      <c r="B1601" s="226" t="s">
        <v>1192</v>
      </c>
      <c r="C1601" s="227"/>
      <c r="D1601" s="227"/>
      <c r="E1601" s="227"/>
      <c r="F1601" s="227"/>
      <c r="G1601" s="227"/>
      <c r="H1601" s="227"/>
      <c r="I1601" s="228"/>
    </row>
    <row r="1604" spans="2:9">
      <c r="B1604" s="3" t="s">
        <v>556</v>
      </c>
      <c r="C1604" s="3">
        <v>0.85</v>
      </c>
    </row>
    <row r="1605" spans="2:9">
      <c r="B1605" s="3" t="s">
        <v>557</v>
      </c>
      <c r="C1605" s="9">
        <v>1.1000000000000001</v>
      </c>
      <c r="D1605" s="24" t="s">
        <v>575</v>
      </c>
    </row>
    <row r="1606" spans="2:9">
      <c r="B1606" s="3" t="s">
        <v>558</v>
      </c>
      <c r="C1606" s="3">
        <v>1.4</v>
      </c>
    </row>
    <row r="1607" spans="2:9">
      <c r="B1607" s="3" t="s">
        <v>566</v>
      </c>
      <c r="C1607" s="36">
        <v>40179</v>
      </c>
    </row>
    <row r="1608" spans="2:9">
      <c r="B1608" s="3" t="s">
        <v>567</v>
      </c>
      <c r="C1608" s="36">
        <v>43101</v>
      </c>
    </row>
    <row r="1609" spans="2:9">
      <c r="B1609" s="6" t="s">
        <v>559</v>
      </c>
      <c r="C1609" s="3"/>
    </row>
    <row r="1610" spans="2:9">
      <c r="B1610" s="3" t="s">
        <v>560</v>
      </c>
      <c r="C1610" s="30">
        <f>C1604*(1+C1605)/C1606</f>
        <v>1.2750000000000001</v>
      </c>
    </row>
    <row r="1611" spans="2:9">
      <c r="B1611" s="3" t="s">
        <v>568</v>
      </c>
      <c r="C1611" s="75">
        <f>DATEDIF(C1607,C1608,"m")</f>
        <v>96</v>
      </c>
      <c r="D1611" s="35" t="s">
        <v>572</v>
      </c>
    </row>
    <row r="1612" spans="2:9">
      <c r="B1612" s="3" t="s">
        <v>569</v>
      </c>
      <c r="C1612" s="144">
        <f>C1610^(1/C1611)</f>
        <v>1.0025338942578075</v>
      </c>
      <c r="D1612" s="35" t="s">
        <v>999</v>
      </c>
    </row>
    <row r="1615" spans="2:9">
      <c r="B1615" s="24" t="s">
        <v>885</v>
      </c>
      <c r="C1615" s="24" t="s">
        <v>886</v>
      </c>
    </row>
    <row r="1616" spans="2:9">
      <c r="B1616" s="24"/>
      <c r="C1616" s="24" t="s">
        <v>889</v>
      </c>
    </row>
    <row r="1617" spans="2:9">
      <c r="B1617" s="24"/>
      <c r="C1617" s="24" t="s">
        <v>887</v>
      </c>
    </row>
    <row r="1618" spans="2:9">
      <c r="B1618" s="24"/>
      <c r="C1618" s="24" t="s">
        <v>888</v>
      </c>
    </row>
    <row r="1625" spans="2:9" ht="19.5" thickBot="1"/>
    <row r="1626" spans="2:9" ht="129.75" customHeight="1" thickBot="1">
      <c r="B1626" s="226" t="s">
        <v>1000</v>
      </c>
      <c r="C1626" s="227"/>
      <c r="D1626" s="227"/>
      <c r="E1626" s="227"/>
      <c r="F1626" s="227"/>
      <c r="G1626" s="227"/>
      <c r="H1626" s="227"/>
      <c r="I1626" s="228"/>
    </row>
    <row r="1628" spans="2:9" ht="19.5" thickBot="1"/>
    <row r="1629" spans="2:9">
      <c r="B1629" s="57"/>
      <c r="C1629" s="58" t="s">
        <v>522</v>
      </c>
      <c r="D1629" s="58" t="s">
        <v>520</v>
      </c>
      <c r="E1629" s="59" t="s">
        <v>521</v>
      </c>
    </row>
    <row r="1630" spans="2:9">
      <c r="B1630" s="60" t="s">
        <v>523</v>
      </c>
      <c r="C1630" s="5">
        <v>3</v>
      </c>
      <c r="D1630" s="5">
        <v>2</v>
      </c>
      <c r="E1630" s="66">
        <v>0</v>
      </c>
    </row>
    <row r="1631" spans="2:9">
      <c r="B1631" s="60" t="s">
        <v>524</v>
      </c>
      <c r="C1631" s="22">
        <v>0.6</v>
      </c>
      <c r="D1631" s="22">
        <v>0</v>
      </c>
      <c r="E1631" s="61"/>
    </row>
    <row r="1632" spans="2:9">
      <c r="B1632" s="60" t="s">
        <v>525</v>
      </c>
      <c r="C1632" s="5">
        <v>5</v>
      </c>
      <c r="D1632" s="5">
        <v>0</v>
      </c>
      <c r="E1632" s="61"/>
    </row>
    <row r="1633" spans="2:7">
      <c r="B1633" s="60" t="s">
        <v>526</v>
      </c>
      <c r="C1633" s="5">
        <v>-2</v>
      </c>
      <c r="D1633" s="5">
        <v>0</v>
      </c>
      <c r="E1633" s="61"/>
    </row>
    <row r="1634" spans="2:7">
      <c r="B1634" s="60" t="s">
        <v>527</v>
      </c>
      <c r="C1634" s="53">
        <f>C1632+C1633</f>
        <v>3</v>
      </c>
      <c r="D1634" s="5">
        <v>0</v>
      </c>
      <c r="E1634" s="66">
        <v>4</v>
      </c>
    </row>
    <row r="1635" spans="2:7">
      <c r="B1635" s="60" t="s">
        <v>528</v>
      </c>
      <c r="C1635" s="5"/>
      <c r="D1635" s="5"/>
      <c r="E1635" s="66">
        <v>7</v>
      </c>
    </row>
    <row r="1636" spans="2:7">
      <c r="B1636" s="60" t="s">
        <v>265</v>
      </c>
      <c r="C1636" s="54">
        <f>1/(C1631/C1632)</f>
        <v>8.3333333333333339</v>
      </c>
      <c r="D1636" s="143">
        <v>6</v>
      </c>
      <c r="E1636" s="67">
        <f>E1634+E1635</f>
        <v>11</v>
      </c>
    </row>
    <row r="1637" spans="2:7">
      <c r="B1637" s="60" t="s">
        <v>530</v>
      </c>
      <c r="C1637" s="5">
        <v>1</v>
      </c>
      <c r="D1637" s="55">
        <v>1.5</v>
      </c>
      <c r="E1637" s="66">
        <v>1</v>
      </c>
      <c r="F1637" s="24" t="s">
        <v>531</v>
      </c>
    </row>
    <row r="1638" spans="2:7">
      <c r="B1638" s="60" t="s">
        <v>529</v>
      </c>
      <c r="C1638" s="4">
        <v>200000</v>
      </c>
      <c r="D1638" s="54">
        <f>200000*1.18</f>
        <v>236000</v>
      </c>
      <c r="E1638" s="61">
        <v>300000</v>
      </c>
      <c r="F1638" s="24" t="s">
        <v>535</v>
      </c>
    </row>
    <row r="1639" spans="2:7">
      <c r="B1639" s="60" t="s">
        <v>532</v>
      </c>
      <c r="C1639" s="22">
        <v>0.1</v>
      </c>
      <c r="D1639" s="22">
        <v>0.1</v>
      </c>
      <c r="E1639" s="68">
        <v>0.1</v>
      </c>
    </row>
    <row r="1640" spans="2:7">
      <c r="B1640" s="60" t="s">
        <v>533</v>
      </c>
      <c r="C1640" s="21">
        <f>C1634/C1636</f>
        <v>0.36</v>
      </c>
      <c r="D1640" s="21">
        <f>D1634/D1636</f>
        <v>0</v>
      </c>
      <c r="E1640" s="62">
        <f>E1634/E1636</f>
        <v>0.36363636363636365</v>
      </c>
      <c r="F1640" s="24" t="s">
        <v>511</v>
      </c>
    </row>
    <row r="1641" spans="2:7">
      <c r="B1641" s="60" t="s">
        <v>534</v>
      </c>
      <c r="C1641" s="4">
        <f>C1638/(1-C1631)</f>
        <v>500000</v>
      </c>
      <c r="D1641" s="4">
        <f>D1638/(1-D1631)</f>
        <v>236000</v>
      </c>
      <c r="E1641" s="61">
        <f>E1638/(1-E1634/E1636)</f>
        <v>471428.57142857142</v>
      </c>
      <c r="F1641" s="24" t="s">
        <v>905</v>
      </c>
    </row>
    <row r="1642" spans="2:7">
      <c r="B1642" s="60" t="s">
        <v>541</v>
      </c>
      <c r="C1642" s="54">
        <f>C1641*(1+C1639)^C1630</f>
        <v>665500.00000000023</v>
      </c>
      <c r="D1642" s="54">
        <f>D1641*(1+D1639)^D1630</f>
        <v>285560.00000000006</v>
      </c>
      <c r="E1642" s="69">
        <f>E1641*(1+E1639)^E1630</f>
        <v>471428.57142857142</v>
      </c>
      <c r="F1642" s="2">
        <f>SUM(C1642:E1642)</f>
        <v>1422488.5714285716</v>
      </c>
      <c r="G1642" s="24" t="s">
        <v>548</v>
      </c>
    </row>
    <row r="1643" spans="2:7">
      <c r="B1643" s="60" t="s">
        <v>536</v>
      </c>
      <c r="C1643" s="4">
        <f>C1642/1.18</f>
        <v>563983.05084745784</v>
      </c>
      <c r="D1643" s="4">
        <f t="shared" ref="D1643:E1643" si="7">D1642/1.18</f>
        <v>242000.00000000006</v>
      </c>
      <c r="E1643" s="61">
        <f t="shared" si="7"/>
        <v>399515.73849878937</v>
      </c>
      <c r="F1643" s="24" t="s">
        <v>537</v>
      </c>
      <c r="G1643" s="24"/>
    </row>
    <row r="1644" spans="2:7">
      <c r="B1644" s="60" t="s">
        <v>538</v>
      </c>
      <c r="C1644" s="4">
        <f>(C1630+C1634)*C1637</f>
        <v>6</v>
      </c>
      <c r="D1644" s="4">
        <f>(D1630+D1634)*D1637</f>
        <v>3</v>
      </c>
      <c r="E1644" s="61">
        <f>(E1630+E1634)*E1637</f>
        <v>4</v>
      </c>
      <c r="F1644" s="24" t="s">
        <v>539</v>
      </c>
    </row>
    <row r="1645" spans="2:7">
      <c r="B1645" s="60" t="s">
        <v>371</v>
      </c>
      <c r="C1645" s="21">
        <f>C1644/C1636</f>
        <v>0.72</v>
      </c>
      <c r="D1645" s="21">
        <f>D1644/D1636</f>
        <v>0.5</v>
      </c>
      <c r="E1645" s="62">
        <f>E1644/E1636</f>
        <v>0.36363636363636365</v>
      </c>
      <c r="F1645" s="24" t="s">
        <v>555</v>
      </c>
    </row>
    <row r="1646" spans="2:7">
      <c r="B1646" s="60" t="s">
        <v>540</v>
      </c>
      <c r="C1646" s="4">
        <f>C1642*C1645</f>
        <v>479160.00000000017</v>
      </c>
      <c r="D1646" s="4">
        <f>D1642*D1645</f>
        <v>142780.00000000003</v>
      </c>
      <c r="E1646" s="61">
        <f>E1642*E1645</f>
        <v>171428.57142857142</v>
      </c>
      <c r="F1646" s="2">
        <f>SUM(C1646:E1646)</f>
        <v>793368.57142857159</v>
      </c>
    </row>
    <row r="1647" spans="2:7">
      <c r="B1647" s="60" t="s">
        <v>542</v>
      </c>
      <c r="C1647" s="4">
        <f>C1642-C1646</f>
        <v>186340.00000000006</v>
      </c>
      <c r="D1647" s="4">
        <f>D1642-D1646</f>
        <v>142780.00000000003</v>
      </c>
      <c r="E1647" s="61">
        <f>E1642-E1646</f>
        <v>300000</v>
      </c>
      <c r="F1647" s="2">
        <f>SUM(C1647:E1647)</f>
        <v>629120.00000000012</v>
      </c>
    </row>
    <row r="1648" spans="2:7">
      <c r="B1648" s="60" t="s">
        <v>543</v>
      </c>
      <c r="C1648" s="56">
        <f>C1647/F1647</f>
        <v>0.29619150559511703</v>
      </c>
      <c r="D1648" s="56">
        <f>D1647/F1647</f>
        <v>0.22695193285859613</v>
      </c>
      <c r="E1648" s="70">
        <f>E1647/F1647</f>
        <v>0.47685656154628681</v>
      </c>
    </row>
    <row r="1649" spans="2:9">
      <c r="B1649" s="60" t="s">
        <v>544</v>
      </c>
      <c r="C1649" s="21">
        <f>1/C1636</f>
        <v>0.12</v>
      </c>
      <c r="D1649" s="21">
        <f>1/D1636</f>
        <v>0.16666666666666666</v>
      </c>
      <c r="E1649" s="62">
        <f>1/E1636</f>
        <v>9.0909090909090912E-2</v>
      </c>
      <c r="F1649" s="24" t="s">
        <v>545</v>
      </c>
    </row>
    <row r="1650" spans="2:9" ht="19.5" thickBot="1">
      <c r="B1650" s="63" t="s">
        <v>546</v>
      </c>
      <c r="C1650" s="71">
        <f>C1642*C1649</f>
        <v>79860.000000000029</v>
      </c>
      <c r="D1650" s="71">
        <f>D1642*D1649</f>
        <v>47593.333333333343</v>
      </c>
      <c r="E1650" s="72">
        <f>E1642*E1649</f>
        <v>42857.142857142855</v>
      </c>
      <c r="F1650" s="2">
        <f>SUM(C1650:E1650)</f>
        <v>170310.47619047621</v>
      </c>
      <c r="G1650" s="73">
        <f>F1650/F1642</f>
        <v>0.11972713145908612</v>
      </c>
      <c r="H1650" s="24" t="s">
        <v>547</v>
      </c>
    </row>
    <row r="1651" spans="2:9">
      <c r="B1651" s="57" t="s">
        <v>550</v>
      </c>
      <c r="C1651" s="58">
        <f>C1642*(1+C1639)</f>
        <v>732050.00000000035</v>
      </c>
      <c r="D1651" s="58">
        <f t="shared" ref="D1651:E1651" si="8">D1642*(1+D1639)</f>
        <v>314116.00000000012</v>
      </c>
      <c r="E1651" s="59">
        <f t="shared" si="8"/>
        <v>518571.42857142858</v>
      </c>
      <c r="F1651" s="2">
        <f>SUM(C1651:E1651)</f>
        <v>1564737.4285714291</v>
      </c>
      <c r="G1651" s="24"/>
      <c r="H1651" s="24" t="s">
        <v>549</v>
      </c>
    </row>
    <row r="1652" spans="2:9">
      <c r="B1652" s="60" t="s">
        <v>551</v>
      </c>
      <c r="C1652" s="4">
        <f>C1644+C1637</f>
        <v>7</v>
      </c>
      <c r="D1652" s="4">
        <f>D1644+D1637</f>
        <v>4.5</v>
      </c>
      <c r="E1652" s="61">
        <f>E1644+E1637</f>
        <v>5</v>
      </c>
    </row>
    <row r="1653" spans="2:9">
      <c r="B1653" s="60" t="s">
        <v>552</v>
      </c>
      <c r="C1653" s="21">
        <f>C1652/C1636</f>
        <v>0.84</v>
      </c>
      <c r="D1653" s="21">
        <f>D1652/D1636</f>
        <v>0.75</v>
      </c>
      <c r="E1653" s="62">
        <f>E1652/E1636</f>
        <v>0.45454545454545453</v>
      </c>
    </row>
    <row r="1654" spans="2:9">
      <c r="B1654" s="60" t="s">
        <v>552</v>
      </c>
      <c r="C1654" s="4">
        <f>C1651*C1653</f>
        <v>614922.00000000023</v>
      </c>
      <c r="D1654" s="4">
        <f t="shared" ref="D1654:E1654" si="9">D1651*D1653</f>
        <v>235587.00000000009</v>
      </c>
      <c r="E1654" s="61">
        <f t="shared" si="9"/>
        <v>235714.28571428571</v>
      </c>
      <c r="F1654" s="2">
        <f>SUM(C1654:E1654)</f>
        <v>1086223.2857142861</v>
      </c>
      <c r="G1654" s="51">
        <f>F1654/F1651</f>
        <v>0.69418885614948456</v>
      </c>
      <c r="H1654" s="24" t="s">
        <v>554</v>
      </c>
    </row>
    <row r="1655" spans="2:9">
      <c r="B1655" s="60" t="s">
        <v>543</v>
      </c>
      <c r="C1655" s="4">
        <f>C1651/F1651</f>
        <v>0.46784207154062002</v>
      </c>
      <c r="D1655" s="4">
        <f>D1651/F1651</f>
        <v>0.20074677978833874</v>
      </c>
      <c r="E1655" s="61">
        <f>E1651/F1651</f>
        <v>0.33141114867104121</v>
      </c>
      <c r="F1655" s="2"/>
      <c r="G1655" s="51"/>
      <c r="H1655" s="24"/>
    </row>
    <row r="1656" spans="2:9" ht="19.5" thickBot="1">
      <c r="B1656" s="63" t="s">
        <v>552</v>
      </c>
      <c r="C1656" s="64">
        <f>C1653*C1655</f>
        <v>0.39298734009412079</v>
      </c>
      <c r="D1656" s="64">
        <f t="shared" ref="D1656:E1656" si="10">D1653*D1655</f>
        <v>0.15056008484125405</v>
      </c>
      <c r="E1656" s="65">
        <f t="shared" si="10"/>
        <v>0.15064143121410964</v>
      </c>
      <c r="F1656" s="52">
        <f>SUM(C1656:E1656)</f>
        <v>0.69418885614948456</v>
      </c>
      <c r="G1656" s="24" t="s">
        <v>553</v>
      </c>
      <c r="H1656" s="24"/>
    </row>
    <row r="1663" spans="2:9" ht="19.5" thickBot="1"/>
    <row r="1664" spans="2:9" ht="110.25" customHeight="1" thickBot="1">
      <c r="B1664" s="226" t="s">
        <v>1001</v>
      </c>
      <c r="C1664" s="227"/>
      <c r="D1664" s="227"/>
      <c r="E1664" s="227"/>
      <c r="F1664" s="227"/>
      <c r="G1664" s="227"/>
      <c r="H1664" s="227"/>
      <c r="I1664" s="228"/>
    </row>
    <row r="1666" spans="2:7" ht="19.5" thickBot="1"/>
    <row r="1667" spans="2:7">
      <c r="B1667" s="57"/>
      <c r="C1667" s="58" t="s">
        <v>522</v>
      </c>
      <c r="D1667" s="58" t="s">
        <v>520</v>
      </c>
      <c r="E1667" s="59" t="s">
        <v>521</v>
      </c>
    </row>
    <row r="1668" spans="2:7">
      <c r="B1668" s="60" t="s">
        <v>523</v>
      </c>
      <c r="C1668" s="5">
        <v>3</v>
      </c>
      <c r="D1668" s="5">
        <v>2</v>
      </c>
      <c r="E1668" s="66">
        <v>0</v>
      </c>
    </row>
    <row r="1669" spans="2:7">
      <c r="B1669" s="60" t="s">
        <v>524</v>
      </c>
      <c r="C1669" s="22">
        <v>0.6</v>
      </c>
      <c r="D1669" s="22">
        <v>0</v>
      </c>
      <c r="E1669" s="61"/>
    </row>
    <row r="1670" spans="2:7">
      <c r="B1670" s="60" t="s">
        <v>525</v>
      </c>
      <c r="C1670" s="5">
        <v>5</v>
      </c>
      <c r="D1670" s="5">
        <v>0</v>
      </c>
      <c r="E1670" s="61"/>
    </row>
    <row r="1671" spans="2:7">
      <c r="B1671" s="60" t="s">
        <v>526</v>
      </c>
      <c r="C1671" s="5">
        <v>-2</v>
      </c>
      <c r="D1671" s="5">
        <v>0</v>
      </c>
      <c r="E1671" s="61"/>
    </row>
    <row r="1672" spans="2:7">
      <c r="B1672" s="60" t="s">
        <v>527</v>
      </c>
      <c r="C1672" s="53">
        <f>C1670+C1671</f>
        <v>3</v>
      </c>
      <c r="D1672" s="5">
        <v>0</v>
      </c>
      <c r="E1672" s="66">
        <v>4</v>
      </c>
    </row>
    <row r="1673" spans="2:7">
      <c r="B1673" s="60" t="s">
        <v>528</v>
      </c>
      <c r="C1673" s="5"/>
      <c r="D1673" s="5"/>
      <c r="E1673" s="66">
        <v>7</v>
      </c>
    </row>
    <row r="1674" spans="2:7">
      <c r="B1674" s="60" t="s">
        <v>265</v>
      </c>
      <c r="C1674" s="54">
        <f>1/(C1669/C1670)</f>
        <v>8.3333333333333339</v>
      </c>
      <c r="D1674" s="5">
        <v>6</v>
      </c>
      <c r="E1674" s="67">
        <f>E1672+E1673</f>
        <v>11</v>
      </c>
    </row>
    <row r="1675" spans="2:7">
      <c r="B1675" s="60" t="s">
        <v>530</v>
      </c>
      <c r="C1675" s="5">
        <v>1</v>
      </c>
      <c r="D1675" s="55">
        <v>1.5</v>
      </c>
      <c r="E1675" s="66">
        <v>1</v>
      </c>
      <c r="F1675" s="24" t="s">
        <v>531</v>
      </c>
    </row>
    <row r="1676" spans="2:7">
      <c r="B1676" s="60" t="s">
        <v>529</v>
      </c>
      <c r="C1676" s="4">
        <v>200000</v>
      </c>
      <c r="D1676" s="54">
        <f>200000*1.18</f>
        <v>236000</v>
      </c>
      <c r="E1676" s="61">
        <v>300000</v>
      </c>
      <c r="F1676" s="24" t="s">
        <v>535</v>
      </c>
    </row>
    <row r="1677" spans="2:7">
      <c r="B1677" s="60" t="s">
        <v>532</v>
      </c>
      <c r="C1677" s="22">
        <v>0.1</v>
      </c>
      <c r="D1677" s="22">
        <v>0.1</v>
      </c>
      <c r="E1677" s="68">
        <v>0.1</v>
      </c>
    </row>
    <row r="1678" spans="2:7">
      <c r="B1678" s="60" t="s">
        <v>533</v>
      </c>
      <c r="C1678" s="21">
        <f>C1672/C1674</f>
        <v>0.36</v>
      </c>
      <c r="D1678" s="21">
        <f>D1672/D1674</f>
        <v>0</v>
      </c>
      <c r="E1678" s="62">
        <f>E1672/E1674</f>
        <v>0.36363636363636365</v>
      </c>
      <c r="F1678" s="24" t="s">
        <v>511</v>
      </c>
    </row>
    <row r="1679" spans="2:7">
      <c r="B1679" s="60" t="s">
        <v>534</v>
      </c>
      <c r="C1679" s="4">
        <f>C1676/(1-C1669)</f>
        <v>500000</v>
      </c>
      <c r="D1679" s="4">
        <f>D1676/(1-D1669)</f>
        <v>236000</v>
      </c>
      <c r="E1679" s="61">
        <f>E1676/(1-E1672/E1674)</f>
        <v>471428.57142857142</v>
      </c>
      <c r="F1679" s="24" t="s">
        <v>905</v>
      </c>
    </row>
    <row r="1680" spans="2:7">
      <c r="B1680" s="60" t="s">
        <v>541</v>
      </c>
      <c r="C1680" s="54">
        <f>C1679*(1+C1677)^C1668</f>
        <v>665500.00000000023</v>
      </c>
      <c r="D1680" s="54">
        <f>D1679*(1+D1677)^D1668</f>
        <v>285560.00000000006</v>
      </c>
      <c r="E1680" s="69">
        <f>E1679*(1+E1677)^E1668</f>
        <v>471428.57142857142</v>
      </c>
      <c r="F1680" s="2">
        <f>SUM(C1680:E1680)</f>
        <v>1422488.5714285716</v>
      </c>
      <c r="G1680" s="24" t="s">
        <v>548</v>
      </c>
    </row>
    <row r="1681" spans="2:8">
      <c r="B1681" s="60" t="s">
        <v>536</v>
      </c>
      <c r="C1681" s="4">
        <f>C1680/1.18</f>
        <v>563983.05084745784</v>
      </c>
      <c r="D1681" s="4">
        <f t="shared" ref="D1681:E1681" si="11">D1680/1.18</f>
        <v>242000.00000000006</v>
      </c>
      <c r="E1681" s="61">
        <f t="shared" si="11"/>
        <v>399515.73849878937</v>
      </c>
      <c r="F1681" s="24" t="s">
        <v>537</v>
      </c>
      <c r="G1681" s="24"/>
    </row>
    <row r="1682" spans="2:8">
      <c r="B1682" s="60" t="s">
        <v>538</v>
      </c>
      <c r="C1682" s="4">
        <f>(C1668+C1672)*C1675</f>
        <v>6</v>
      </c>
      <c r="D1682" s="4">
        <f>(D1668+D1672)*D1675</f>
        <v>3</v>
      </c>
      <c r="E1682" s="61">
        <f>(E1668+E1672)*E1675</f>
        <v>4</v>
      </c>
      <c r="F1682" s="24" t="s">
        <v>539</v>
      </c>
    </row>
    <row r="1683" spans="2:8">
      <c r="B1683" s="60" t="s">
        <v>371</v>
      </c>
      <c r="C1683" s="21">
        <f>C1682/C1674</f>
        <v>0.72</v>
      </c>
      <c r="D1683" s="21">
        <f>D1682/D1674</f>
        <v>0.5</v>
      </c>
      <c r="E1683" s="62">
        <f>E1682/E1674</f>
        <v>0.36363636363636365</v>
      </c>
      <c r="F1683" s="24" t="s">
        <v>555</v>
      </c>
    </row>
    <row r="1684" spans="2:8">
      <c r="B1684" s="60" t="s">
        <v>540</v>
      </c>
      <c r="C1684" s="4">
        <f>C1680*C1683</f>
        <v>479160.00000000017</v>
      </c>
      <c r="D1684" s="4">
        <f>D1680*D1683</f>
        <v>142780.00000000003</v>
      </c>
      <c r="E1684" s="61">
        <f>E1680*E1683</f>
        <v>171428.57142857142</v>
      </c>
      <c r="F1684" s="2">
        <f>SUM(C1684:E1684)</f>
        <v>793368.57142857159</v>
      </c>
      <c r="G1684" s="73">
        <f>F1684/F1680</f>
        <v>0.55773282637470356</v>
      </c>
    </row>
    <row r="1685" spans="2:8">
      <c r="B1685" s="60" t="s">
        <v>542</v>
      </c>
      <c r="C1685" s="4">
        <f>C1680-C1684</f>
        <v>186340.00000000006</v>
      </c>
      <c r="D1685" s="4">
        <f>D1680-D1684</f>
        <v>142780.00000000003</v>
      </c>
      <c r="E1685" s="61">
        <f>E1680-E1684</f>
        <v>300000</v>
      </c>
      <c r="F1685" s="2">
        <f>SUM(C1685:E1685)</f>
        <v>629120.00000000012</v>
      </c>
    </row>
    <row r="1686" spans="2:8">
      <c r="B1686" s="60" t="s">
        <v>543</v>
      </c>
      <c r="C1686" s="56">
        <f>C1685/F1685</f>
        <v>0.29619150559511703</v>
      </c>
      <c r="D1686" s="56">
        <f>D1685/F1685</f>
        <v>0.22695193285859613</v>
      </c>
      <c r="E1686" s="70">
        <f>E1685/F1685</f>
        <v>0.47685656154628681</v>
      </c>
    </row>
    <row r="1687" spans="2:8">
      <c r="B1687" s="60" t="s">
        <v>544</v>
      </c>
      <c r="C1687" s="21">
        <f>1/C1674</f>
        <v>0.12</v>
      </c>
      <c r="D1687" s="21">
        <f>1/D1674</f>
        <v>0.16666666666666666</v>
      </c>
      <c r="E1687" s="62">
        <f>1/E1674</f>
        <v>9.0909090909090912E-2</v>
      </c>
      <c r="F1687" s="24" t="s">
        <v>545</v>
      </c>
    </row>
    <row r="1688" spans="2:8" ht="19.5" thickBot="1">
      <c r="B1688" s="63" t="s">
        <v>546</v>
      </c>
      <c r="C1688" s="71">
        <f>C1680*C1687</f>
        <v>79860.000000000029</v>
      </c>
      <c r="D1688" s="71">
        <f>D1680*D1687</f>
        <v>47593.333333333343</v>
      </c>
      <c r="E1688" s="72">
        <f>E1680*E1687</f>
        <v>42857.142857142855</v>
      </c>
      <c r="F1688" s="2">
        <f>SUM(C1688:E1688)</f>
        <v>170310.47619047621</v>
      </c>
      <c r="G1688" s="74">
        <f>F1688/F1680</f>
        <v>0.11972713145908612</v>
      </c>
      <c r="H1688" s="24" t="s">
        <v>547</v>
      </c>
    </row>
    <row r="1689" spans="2:8">
      <c r="B1689" s="57" t="s">
        <v>550</v>
      </c>
      <c r="C1689" s="58">
        <f>C1680*(1+C1677)</f>
        <v>732050.00000000035</v>
      </c>
      <c r="D1689" s="58">
        <f t="shared" ref="D1689:E1689" si="12">D1680*(1+D1677)</f>
        <v>314116.00000000012</v>
      </c>
      <c r="E1689" s="59">
        <f t="shared" si="12"/>
        <v>518571.42857142858</v>
      </c>
      <c r="F1689" s="2">
        <f>SUM(C1689:E1689)</f>
        <v>1564737.4285714291</v>
      </c>
      <c r="G1689" s="24"/>
      <c r="H1689" s="24" t="s">
        <v>549</v>
      </c>
    </row>
    <row r="1690" spans="2:8">
      <c r="B1690" s="60" t="s">
        <v>551</v>
      </c>
      <c r="C1690" s="4">
        <f>C1682+C1675</f>
        <v>7</v>
      </c>
      <c r="D1690" s="4">
        <f>D1682+D1675</f>
        <v>4.5</v>
      </c>
      <c r="E1690" s="61">
        <f>E1682+E1675</f>
        <v>5</v>
      </c>
    </row>
    <row r="1691" spans="2:8">
      <c r="B1691" s="60" t="s">
        <v>552</v>
      </c>
      <c r="C1691" s="21">
        <f>C1690/C1674</f>
        <v>0.84</v>
      </c>
      <c r="D1691" s="21">
        <f>D1690/D1674</f>
        <v>0.75</v>
      </c>
      <c r="E1691" s="62">
        <f>E1690/E1674</f>
        <v>0.45454545454545453</v>
      </c>
    </row>
    <row r="1692" spans="2:8">
      <c r="B1692" s="60" t="s">
        <v>552</v>
      </c>
      <c r="C1692" s="4">
        <f>C1689*C1691</f>
        <v>614922.00000000023</v>
      </c>
      <c r="D1692" s="4">
        <f t="shared" ref="D1692:E1692" si="13">D1689*D1691</f>
        <v>235587.00000000009</v>
      </c>
      <c r="E1692" s="61">
        <f t="shared" si="13"/>
        <v>235714.28571428571</v>
      </c>
      <c r="F1692" s="2">
        <f>SUM(C1692:E1692)</f>
        <v>1086223.2857142861</v>
      </c>
      <c r="G1692" s="51">
        <f>F1692/F1689</f>
        <v>0.69418885614948456</v>
      </c>
      <c r="H1692" s="24" t="s">
        <v>554</v>
      </c>
    </row>
    <row r="1693" spans="2:8">
      <c r="B1693" s="60" t="s">
        <v>543</v>
      </c>
      <c r="C1693" s="4">
        <f>C1689/F1689</f>
        <v>0.46784207154062002</v>
      </c>
      <c r="D1693" s="4">
        <f>D1689/F1689</f>
        <v>0.20074677978833874</v>
      </c>
      <c r="E1693" s="61">
        <f>E1689/F1689</f>
        <v>0.33141114867104121</v>
      </c>
      <c r="F1693" s="2"/>
      <c r="G1693" s="51"/>
      <c r="H1693" s="24"/>
    </row>
    <row r="1694" spans="2:8" ht="19.5" thickBot="1">
      <c r="B1694" s="63" t="s">
        <v>552</v>
      </c>
      <c r="C1694" s="64">
        <f>C1691*C1693</f>
        <v>0.39298734009412079</v>
      </c>
      <c r="D1694" s="64">
        <f t="shared" ref="D1694:E1694" si="14">D1691*D1693</f>
        <v>0.15056008484125405</v>
      </c>
      <c r="E1694" s="65">
        <f t="shared" si="14"/>
        <v>0.15064143121410964</v>
      </c>
      <c r="F1694" s="52">
        <f>SUM(C1694:E1694)</f>
        <v>0.69418885614948456</v>
      </c>
      <c r="G1694" s="24" t="s">
        <v>553</v>
      </c>
      <c r="H1694" s="24"/>
    </row>
    <row r="1701" spans="2:9" ht="19.5" thickBot="1"/>
    <row r="1702" spans="2:9" ht="40.5" customHeight="1" thickBot="1">
      <c r="B1702" s="226" t="s">
        <v>1005</v>
      </c>
      <c r="C1702" s="227"/>
      <c r="D1702" s="227"/>
      <c r="E1702" s="227"/>
      <c r="F1702" s="227"/>
      <c r="G1702" s="227"/>
      <c r="H1702" s="227"/>
      <c r="I1702" s="228"/>
    </row>
    <row r="1705" spans="2:9">
      <c r="B1705" s="3" t="s">
        <v>573</v>
      </c>
      <c r="C1705" s="3">
        <v>0.85</v>
      </c>
      <c r="D1705" s="35" t="s">
        <v>1003</v>
      </c>
    </row>
    <row r="1706" spans="2:9">
      <c r="B1706" s="3" t="s">
        <v>557</v>
      </c>
      <c r="C1706" s="9">
        <v>1.1000000000000001</v>
      </c>
      <c r="D1706" s="24" t="s">
        <v>575</v>
      </c>
    </row>
    <row r="1707" spans="2:9">
      <c r="B1707" s="3" t="s">
        <v>558</v>
      </c>
      <c r="C1707" s="3">
        <v>1.4</v>
      </c>
    </row>
    <row r="1708" spans="2:9">
      <c r="B1708" s="3" t="s">
        <v>566</v>
      </c>
      <c r="C1708" s="36">
        <v>40179</v>
      </c>
    </row>
    <row r="1709" spans="2:9">
      <c r="B1709" s="3" t="s">
        <v>567</v>
      </c>
      <c r="C1709" s="36">
        <v>43101</v>
      </c>
    </row>
    <row r="1710" spans="2:9">
      <c r="B1710" s="6" t="s">
        <v>559</v>
      </c>
      <c r="C1710" s="3"/>
    </row>
    <row r="1711" spans="2:9">
      <c r="B1711" s="3" t="s">
        <v>574</v>
      </c>
      <c r="C1711" s="30">
        <f>1/C1705</f>
        <v>1.1764705882352942</v>
      </c>
      <c r="D1711" s="35" t="s">
        <v>1004</v>
      </c>
    </row>
    <row r="1712" spans="2:9">
      <c r="B1712" s="3" t="s">
        <v>560</v>
      </c>
      <c r="C1712" s="30">
        <f>C1711*(1+C1706)/C1707</f>
        <v>1.7647058823529413</v>
      </c>
    </row>
    <row r="1713" spans="2:9">
      <c r="B1713" s="3" t="s">
        <v>570</v>
      </c>
      <c r="C1713" s="75">
        <f>DATEDIF(C1708,C1709,"y")</f>
        <v>8</v>
      </c>
      <c r="D1713" s="35" t="s">
        <v>572</v>
      </c>
    </row>
    <row r="1714" spans="2:9">
      <c r="B1714" s="3" t="s">
        <v>569</v>
      </c>
      <c r="C1714" s="144">
        <f>C1712^(1/C1713)</f>
        <v>1.0735790837546715</v>
      </c>
      <c r="D1714" s="35" t="s">
        <v>571</v>
      </c>
    </row>
    <row r="1716" spans="2:9">
      <c r="B1716" s="24" t="s">
        <v>885</v>
      </c>
      <c r="C1716" s="24" t="s">
        <v>886</v>
      </c>
    </row>
    <row r="1717" spans="2:9">
      <c r="B1717" s="24"/>
      <c r="C1717" s="24" t="s">
        <v>889</v>
      </c>
    </row>
    <row r="1718" spans="2:9">
      <c r="B1718" s="24"/>
      <c r="C1718" s="24" t="s">
        <v>887</v>
      </c>
    </row>
    <row r="1719" spans="2:9">
      <c r="B1719" s="24"/>
      <c r="C1719" s="24" t="s">
        <v>888</v>
      </c>
    </row>
    <row r="1726" spans="2:9" ht="19.5" thickBot="1"/>
    <row r="1727" spans="2:9" ht="135" customHeight="1" thickBot="1">
      <c r="B1727" s="226" t="s">
        <v>1006</v>
      </c>
      <c r="C1727" s="227"/>
      <c r="D1727" s="227"/>
      <c r="E1727" s="227"/>
      <c r="F1727" s="227"/>
      <c r="G1727" s="227"/>
      <c r="H1727" s="227"/>
      <c r="I1727" s="228"/>
    </row>
    <row r="1729" spans="2:7" ht="19.5" thickBot="1"/>
    <row r="1730" spans="2:7">
      <c r="B1730" s="57"/>
      <c r="C1730" s="58" t="s">
        <v>522</v>
      </c>
      <c r="D1730" s="58" t="s">
        <v>520</v>
      </c>
      <c r="E1730" s="59" t="s">
        <v>521</v>
      </c>
    </row>
    <row r="1731" spans="2:7">
      <c r="B1731" s="60" t="s">
        <v>523</v>
      </c>
      <c r="C1731" s="5">
        <v>3</v>
      </c>
      <c r="D1731" s="5">
        <v>2</v>
      </c>
      <c r="E1731" s="66">
        <v>0</v>
      </c>
    </row>
    <row r="1732" spans="2:7">
      <c r="B1732" s="60" t="s">
        <v>524</v>
      </c>
      <c r="C1732" s="22">
        <v>0.6</v>
      </c>
      <c r="D1732" s="22">
        <v>0</v>
      </c>
      <c r="E1732" s="61"/>
    </row>
    <row r="1733" spans="2:7">
      <c r="B1733" s="60" t="s">
        <v>525</v>
      </c>
      <c r="C1733" s="5">
        <v>5</v>
      </c>
      <c r="D1733" s="5">
        <v>0</v>
      </c>
      <c r="E1733" s="61"/>
    </row>
    <row r="1734" spans="2:7">
      <c r="B1734" s="60" t="s">
        <v>526</v>
      </c>
      <c r="C1734" s="5">
        <v>-2</v>
      </c>
      <c r="D1734" s="5">
        <v>0</v>
      </c>
      <c r="E1734" s="61"/>
    </row>
    <row r="1735" spans="2:7">
      <c r="B1735" s="60" t="s">
        <v>527</v>
      </c>
      <c r="C1735" s="53">
        <f>C1733+C1734</f>
        <v>3</v>
      </c>
      <c r="D1735" s="5">
        <v>0</v>
      </c>
      <c r="E1735" s="66">
        <v>4</v>
      </c>
    </row>
    <row r="1736" spans="2:7">
      <c r="B1736" s="60" t="s">
        <v>528</v>
      </c>
      <c r="C1736" s="5"/>
      <c r="D1736" s="5"/>
      <c r="E1736" s="66">
        <v>7</v>
      </c>
    </row>
    <row r="1737" spans="2:7">
      <c r="B1737" s="60" t="s">
        <v>265</v>
      </c>
      <c r="C1737" s="54">
        <f>1/(C1732/C1733)</f>
        <v>8.3333333333333339</v>
      </c>
      <c r="D1737" s="143">
        <v>6</v>
      </c>
      <c r="E1737" s="67">
        <f>E1735+E1736</f>
        <v>11</v>
      </c>
    </row>
    <row r="1738" spans="2:7">
      <c r="B1738" s="60" t="s">
        <v>530</v>
      </c>
      <c r="C1738" s="5">
        <v>1</v>
      </c>
      <c r="D1738" s="55">
        <v>1.5</v>
      </c>
      <c r="E1738" s="66">
        <v>1</v>
      </c>
      <c r="F1738" s="24" t="s">
        <v>531</v>
      </c>
    </row>
    <row r="1739" spans="2:7">
      <c r="B1739" s="60" t="s">
        <v>529</v>
      </c>
      <c r="C1739" s="4">
        <v>200000</v>
      </c>
      <c r="D1739" s="54">
        <f>200000*1.18</f>
        <v>236000</v>
      </c>
      <c r="E1739" s="61">
        <v>300000</v>
      </c>
      <c r="F1739" s="24" t="s">
        <v>535</v>
      </c>
    </row>
    <row r="1740" spans="2:7">
      <c r="B1740" s="60" t="s">
        <v>532</v>
      </c>
      <c r="C1740" s="22">
        <v>0.1</v>
      </c>
      <c r="D1740" s="22">
        <v>0.1</v>
      </c>
      <c r="E1740" s="68">
        <v>0.1</v>
      </c>
    </row>
    <row r="1741" spans="2:7">
      <c r="B1741" s="60" t="s">
        <v>533</v>
      </c>
      <c r="C1741" s="21">
        <f>C1735/C1737</f>
        <v>0.36</v>
      </c>
      <c r="D1741" s="21">
        <f>D1735/D1737</f>
        <v>0</v>
      </c>
      <c r="E1741" s="62">
        <f>E1735/E1737</f>
        <v>0.36363636363636365</v>
      </c>
      <c r="F1741" s="24" t="s">
        <v>511</v>
      </c>
    </row>
    <row r="1742" spans="2:7">
      <c r="B1742" s="60" t="s">
        <v>534</v>
      </c>
      <c r="C1742" s="4">
        <f>C1739/(1-C1732)</f>
        <v>500000</v>
      </c>
      <c r="D1742" s="4">
        <f>D1739/(1-D1732)</f>
        <v>236000</v>
      </c>
      <c r="E1742" s="61">
        <f>E1739/(1-E1735/E1737)</f>
        <v>471428.57142857142</v>
      </c>
      <c r="F1742" s="24" t="s">
        <v>905</v>
      </c>
    </row>
    <row r="1743" spans="2:7">
      <c r="B1743" s="60" t="s">
        <v>541</v>
      </c>
      <c r="C1743" s="54">
        <f>C1742*(1+C1740)^C1731</f>
        <v>665500.00000000023</v>
      </c>
      <c r="D1743" s="54">
        <f>D1742*(1+D1740)^D1731</f>
        <v>285560.00000000006</v>
      </c>
      <c r="E1743" s="69">
        <f>E1742*(1+E1740)^E1731</f>
        <v>471428.57142857142</v>
      </c>
      <c r="F1743" s="2">
        <f>SUM(C1743:E1743)</f>
        <v>1422488.5714285716</v>
      </c>
      <c r="G1743" s="24" t="s">
        <v>548</v>
      </c>
    </row>
    <row r="1744" spans="2:7">
      <c r="B1744" s="60" t="s">
        <v>536</v>
      </c>
      <c r="C1744" s="4">
        <f>C1743/1.18</f>
        <v>563983.05084745784</v>
      </c>
      <c r="D1744" s="4">
        <f t="shared" ref="D1744:E1744" si="15">D1743/1.18</f>
        <v>242000.00000000006</v>
      </c>
      <c r="E1744" s="61">
        <f t="shared" si="15"/>
        <v>399515.73849878937</v>
      </c>
      <c r="F1744" s="24" t="s">
        <v>537</v>
      </c>
      <c r="G1744" s="24"/>
    </row>
    <row r="1745" spans="2:8">
      <c r="B1745" s="60" t="s">
        <v>538</v>
      </c>
      <c r="C1745" s="4">
        <f>(C1731+C1735)*C1738</f>
        <v>6</v>
      </c>
      <c r="D1745" s="4">
        <f>(D1731+D1735)*D1738</f>
        <v>3</v>
      </c>
      <c r="E1745" s="61">
        <f>(E1731+E1735)*E1738</f>
        <v>4</v>
      </c>
      <c r="F1745" s="24" t="s">
        <v>539</v>
      </c>
    </row>
    <row r="1746" spans="2:8">
      <c r="B1746" s="60" t="s">
        <v>371</v>
      </c>
      <c r="C1746" s="21">
        <f>C1745/C1737</f>
        <v>0.72</v>
      </c>
      <c r="D1746" s="21">
        <f>D1745/D1737</f>
        <v>0.5</v>
      </c>
      <c r="E1746" s="62">
        <f>E1745/E1737</f>
        <v>0.36363636363636365</v>
      </c>
      <c r="F1746" s="24" t="s">
        <v>555</v>
      </c>
    </row>
    <row r="1747" spans="2:8">
      <c r="B1747" s="60" t="s">
        <v>540</v>
      </c>
      <c r="C1747" s="4">
        <f>C1743*C1746</f>
        <v>479160.00000000017</v>
      </c>
      <c r="D1747" s="4">
        <f>D1743*D1746</f>
        <v>142780.00000000003</v>
      </c>
      <c r="E1747" s="61">
        <f>E1743*E1746</f>
        <v>171428.57142857142</v>
      </c>
      <c r="F1747" s="2">
        <f>SUM(C1747:E1747)</f>
        <v>793368.57142857159</v>
      </c>
      <c r="G1747" s="74">
        <f>F1747/F1743</f>
        <v>0.55773282637470356</v>
      </c>
    </row>
    <row r="1748" spans="2:8">
      <c r="B1748" s="60" t="s">
        <v>542</v>
      </c>
      <c r="C1748" s="4">
        <f>C1743-C1747</f>
        <v>186340.00000000006</v>
      </c>
      <c r="D1748" s="4">
        <f>D1743-D1747</f>
        <v>142780.00000000003</v>
      </c>
      <c r="E1748" s="61">
        <f>E1743-E1747</f>
        <v>300000</v>
      </c>
      <c r="F1748" s="2">
        <f>SUM(C1748:E1748)</f>
        <v>629120.00000000012</v>
      </c>
    </row>
    <row r="1749" spans="2:8">
      <c r="B1749" s="60" t="s">
        <v>543</v>
      </c>
      <c r="C1749" s="56">
        <f>C1748/F1748</f>
        <v>0.29619150559511703</v>
      </c>
      <c r="D1749" s="56">
        <f>D1748/F1748</f>
        <v>0.22695193285859613</v>
      </c>
      <c r="E1749" s="70">
        <f>E1748/F1748</f>
        <v>0.47685656154628681</v>
      </c>
    </row>
    <row r="1750" spans="2:8">
      <c r="B1750" s="60" t="s">
        <v>544</v>
      </c>
      <c r="C1750" s="21">
        <f>1/C1737</f>
        <v>0.12</v>
      </c>
      <c r="D1750" s="21">
        <f>1/D1737</f>
        <v>0.16666666666666666</v>
      </c>
      <c r="E1750" s="62">
        <f>1/E1737</f>
        <v>9.0909090909090912E-2</v>
      </c>
      <c r="F1750" s="24" t="s">
        <v>545</v>
      </c>
    </row>
    <row r="1751" spans="2:8" ht="19.5" thickBot="1">
      <c r="B1751" s="63" t="s">
        <v>546</v>
      </c>
      <c r="C1751" s="71">
        <f>C1743*C1750</f>
        <v>79860.000000000029</v>
      </c>
      <c r="D1751" s="71">
        <f>D1743*D1750</f>
        <v>47593.333333333343</v>
      </c>
      <c r="E1751" s="72">
        <f>E1743*E1750</f>
        <v>42857.142857142855</v>
      </c>
      <c r="F1751" s="2">
        <f>SUM(C1751:E1751)</f>
        <v>170310.47619047621</v>
      </c>
      <c r="G1751" s="74">
        <f>F1751/F1743</f>
        <v>0.11972713145908612</v>
      </c>
      <c r="H1751" s="24" t="s">
        <v>547</v>
      </c>
    </row>
    <row r="1752" spans="2:8">
      <c r="B1752" s="57" t="s">
        <v>550</v>
      </c>
      <c r="C1752" s="58">
        <f>C1743*(1+C1740)</f>
        <v>732050.00000000035</v>
      </c>
      <c r="D1752" s="58">
        <f t="shared" ref="D1752:E1752" si="16">D1743*(1+D1740)</f>
        <v>314116.00000000012</v>
      </c>
      <c r="E1752" s="59">
        <f t="shared" si="16"/>
        <v>518571.42857142858</v>
      </c>
      <c r="F1752" s="2">
        <f>SUM(C1752:E1752)</f>
        <v>1564737.4285714291</v>
      </c>
      <c r="G1752" s="24"/>
      <c r="H1752" s="24" t="s">
        <v>549</v>
      </c>
    </row>
    <row r="1753" spans="2:8">
      <c r="B1753" s="60" t="s">
        <v>551</v>
      </c>
      <c r="C1753" s="4">
        <f>C1745+C1738</f>
        <v>7</v>
      </c>
      <c r="D1753" s="4">
        <f>D1745+D1738</f>
        <v>4.5</v>
      </c>
      <c r="E1753" s="61">
        <f>E1745+E1738</f>
        <v>5</v>
      </c>
    </row>
    <row r="1754" spans="2:8">
      <c r="B1754" s="60" t="s">
        <v>552</v>
      </c>
      <c r="C1754" s="21">
        <f>C1753/C1737</f>
        <v>0.84</v>
      </c>
      <c r="D1754" s="21">
        <f>D1753/D1737</f>
        <v>0.75</v>
      </c>
      <c r="E1754" s="62">
        <f>E1753/E1737</f>
        <v>0.45454545454545453</v>
      </c>
    </row>
    <row r="1755" spans="2:8">
      <c r="B1755" s="60" t="s">
        <v>552</v>
      </c>
      <c r="C1755" s="4">
        <f>C1752*C1754</f>
        <v>614922.00000000023</v>
      </c>
      <c r="D1755" s="4">
        <f t="shared" ref="D1755:E1755" si="17">D1752*D1754</f>
        <v>235587.00000000009</v>
      </c>
      <c r="E1755" s="61">
        <f t="shared" si="17"/>
        <v>235714.28571428571</v>
      </c>
      <c r="F1755" s="2">
        <f>SUM(C1755:E1755)</f>
        <v>1086223.2857142861</v>
      </c>
      <c r="G1755" s="73">
        <f>F1755/F1752</f>
        <v>0.69418885614948456</v>
      </c>
      <c r="H1755" s="24" t="s">
        <v>554</v>
      </c>
    </row>
    <row r="1756" spans="2:8">
      <c r="B1756" s="60" t="s">
        <v>543</v>
      </c>
      <c r="C1756" s="4">
        <f>C1752/F1752</f>
        <v>0.46784207154062002</v>
      </c>
      <c r="D1756" s="4">
        <f>D1752/F1752</f>
        <v>0.20074677978833874</v>
      </c>
      <c r="E1756" s="61">
        <f>E1752/F1752</f>
        <v>0.33141114867104121</v>
      </c>
      <c r="F1756" s="2"/>
      <c r="G1756" s="51"/>
      <c r="H1756" s="24"/>
    </row>
    <row r="1757" spans="2:8" ht="19.5" thickBot="1">
      <c r="B1757" s="63" t="s">
        <v>552</v>
      </c>
      <c r="C1757" s="64">
        <f>C1754*C1756</f>
        <v>0.39298734009412079</v>
      </c>
      <c r="D1757" s="64">
        <f t="shared" ref="D1757:E1757" si="18">D1754*D1756</f>
        <v>0.15056008484125405</v>
      </c>
      <c r="E1757" s="65">
        <f t="shared" si="18"/>
        <v>0.15064143121410964</v>
      </c>
      <c r="F1757" s="76">
        <f>SUM(C1757:E1757)</f>
        <v>0.69418885614948456</v>
      </c>
      <c r="G1757" s="24" t="s">
        <v>553</v>
      </c>
      <c r="H1757" s="24"/>
    </row>
    <row r="1764" spans="2:9" ht="19.5" thickBot="1"/>
    <row r="1765" spans="2:9" ht="135" customHeight="1" thickBot="1">
      <c r="B1765" s="226" t="s">
        <v>1007</v>
      </c>
      <c r="C1765" s="227"/>
      <c r="D1765" s="227"/>
      <c r="E1765" s="227"/>
      <c r="F1765" s="227"/>
      <c r="G1765" s="227"/>
      <c r="H1765" s="227"/>
      <c r="I1765" s="228"/>
    </row>
    <row r="1767" spans="2:9" ht="19.5" thickBot="1"/>
    <row r="1768" spans="2:9">
      <c r="B1768" s="57"/>
      <c r="C1768" s="58" t="s">
        <v>522</v>
      </c>
      <c r="D1768" s="58" t="s">
        <v>520</v>
      </c>
      <c r="E1768" s="59" t="s">
        <v>521</v>
      </c>
    </row>
    <row r="1769" spans="2:9">
      <c r="B1769" s="60" t="s">
        <v>523</v>
      </c>
      <c r="C1769" s="5">
        <v>3</v>
      </c>
      <c r="D1769" s="5">
        <v>2</v>
      </c>
      <c r="E1769" s="66">
        <v>0</v>
      </c>
    </row>
    <row r="1770" spans="2:9">
      <c r="B1770" s="60" t="s">
        <v>524</v>
      </c>
      <c r="C1770" s="22">
        <v>0.6</v>
      </c>
      <c r="D1770" s="22">
        <v>0</v>
      </c>
      <c r="E1770" s="61"/>
    </row>
    <row r="1771" spans="2:9">
      <c r="B1771" s="60" t="s">
        <v>525</v>
      </c>
      <c r="C1771" s="5">
        <v>5</v>
      </c>
      <c r="D1771" s="5">
        <v>0</v>
      </c>
      <c r="E1771" s="61"/>
    </row>
    <row r="1772" spans="2:9">
      <c r="B1772" s="60" t="s">
        <v>526</v>
      </c>
      <c r="C1772" s="5">
        <v>-2</v>
      </c>
      <c r="D1772" s="5">
        <v>0</v>
      </c>
      <c r="E1772" s="61"/>
    </row>
    <row r="1773" spans="2:9">
      <c r="B1773" s="60" t="s">
        <v>527</v>
      </c>
      <c r="C1773" s="53">
        <f>C1771+C1772</f>
        <v>3</v>
      </c>
      <c r="D1773" s="5">
        <v>0</v>
      </c>
      <c r="E1773" s="66">
        <v>4</v>
      </c>
    </row>
    <row r="1774" spans="2:9">
      <c r="B1774" s="60" t="s">
        <v>528</v>
      </c>
      <c r="C1774" s="5"/>
      <c r="D1774" s="5"/>
      <c r="E1774" s="66">
        <v>7</v>
      </c>
    </row>
    <row r="1775" spans="2:9">
      <c r="B1775" s="60" t="s">
        <v>265</v>
      </c>
      <c r="C1775" s="54">
        <f>1/(C1770/C1771)</f>
        <v>8.3333333333333339</v>
      </c>
      <c r="D1775" s="143">
        <v>12</v>
      </c>
      <c r="E1775" s="67">
        <f>E1773+E1774</f>
        <v>11</v>
      </c>
    </row>
    <row r="1776" spans="2:9">
      <c r="B1776" s="60" t="s">
        <v>530</v>
      </c>
      <c r="C1776" s="5">
        <v>1</v>
      </c>
      <c r="D1776" s="55">
        <v>1.5</v>
      </c>
      <c r="E1776" s="66">
        <v>1</v>
      </c>
      <c r="F1776" s="24" t="s">
        <v>531</v>
      </c>
    </row>
    <row r="1777" spans="2:8">
      <c r="B1777" s="60" t="s">
        <v>529</v>
      </c>
      <c r="C1777" s="4">
        <v>200000</v>
      </c>
      <c r="D1777" s="54">
        <f>200000*1.18</f>
        <v>236000</v>
      </c>
      <c r="E1777" s="61">
        <v>300000</v>
      </c>
      <c r="F1777" s="24" t="s">
        <v>535</v>
      </c>
    </row>
    <row r="1778" spans="2:8">
      <c r="B1778" s="60" t="s">
        <v>532</v>
      </c>
      <c r="C1778" s="22">
        <v>0.1</v>
      </c>
      <c r="D1778" s="22">
        <v>0.1</v>
      </c>
      <c r="E1778" s="68">
        <v>0.1</v>
      </c>
    </row>
    <row r="1779" spans="2:8">
      <c r="B1779" s="60" t="s">
        <v>533</v>
      </c>
      <c r="C1779" s="21">
        <f>C1773/C1775</f>
        <v>0.36</v>
      </c>
      <c r="D1779" s="21">
        <f>D1773/D1775</f>
        <v>0</v>
      </c>
      <c r="E1779" s="62">
        <f>E1773/E1775</f>
        <v>0.36363636363636365</v>
      </c>
      <c r="F1779" s="24" t="s">
        <v>511</v>
      </c>
    </row>
    <row r="1780" spans="2:8">
      <c r="B1780" s="60" t="s">
        <v>534</v>
      </c>
      <c r="C1780" s="4">
        <f>C1777/(1-C1770)</f>
        <v>500000</v>
      </c>
      <c r="D1780" s="4">
        <f>D1777/(1-D1770)</f>
        <v>236000</v>
      </c>
      <c r="E1780" s="61">
        <f>E1777/(1-E1773/E1775)</f>
        <v>471428.57142857142</v>
      </c>
      <c r="F1780" s="24" t="s">
        <v>905</v>
      </c>
    </row>
    <row r="1781" spans="2:8">
      <c r="B1781" s="60" t="s">
        <v>541</v>
      </c>
      <c r="C1781" s="54">
        <f>C1780*(1+C1778)^C1769</f>
        <v>665500.00000000023</v>
      </c>
      <c r="D1781" s="54">
        <f>D1780*(1+D1778)^D1769</f>
        <v>285560.00000000006</v>
      </c>
      <c r="E1781" s="69">
        <f>E1780*(1+E1778)^E1769</f>
        <v>471428.57142857142</v>
      </c>
      <c r="F1781" s="2">
        <f>SUM(C1781:E1781)</f>
        <v>1422488.5714285716</v>
      </c>
      <c r="G1781" s="24" t="s">
        <v>548</v>
      </c>
    </row>
    <row r="1782" spans="2:8">
      <c r="B1782" s="60" t="s">
        <v>536</v>
      </c>
      <c r="C1782" s="4">
        <f>C1781/1.18</f>
        <v>563983.05084745784</v>
      </c>
      <c r="D1782" s="4">
        <f t="shared" ref="D1782:E1782" si="19">D1781/1.18</f>
        <v>242000.00000000006</v>
      </c>
      <c r="E1782" s="61">
        <f t="shared" si="19"/>
        <v>399515.73849878937</v>
      </c>
      <c r="F1782" s="24" t="s">
        <v>537</v>
      </c>
      <c r="G1782" s="24"/>
    </row>
    <row r="1783" spans="2:8">
      <c r="B1783" s="60" t="s">
        <v>538</v>
      </c>
      <c r="C1783" s="4">
        <f>(C1769+C1773)*C1776</f>
        <v>6</v>
      </c>
      <c r="D1783" s="4">
        <f>(D1769+D1773)*D1776</f>
        <v>3</v>
      </c>
      <c r="E1783" s="61">
        <f>(E1769+E1773)*E1776</f>
        <v>4</v>
      </c>
      <c r="F1783" s="24" t="s">
        <v>539</v>
      </c>
    </row>
    <row r="1784" spans="2:8">
      <c r="B1784" s="60" t="s">
        <v>371</v>
      </c>
      <c r="C1784" s="21">
        <f>C1783/C1775</f>
        <v>0.72</v>
      </c>
      <c r="D1784" s="21">
        <f>D1783/D1775</f>
        <v>0.25</v>
      </c>
      <c r="E1784" s="62">
        <f>E1783/E1775</f>
        <v>0.36363636363636365</v>
      </c>
      <c r="F1784" s="24" t="s">
        <v>555</v>
      </c>
    </row>
    <row r="1785" spans="2:8">
      <c r="B1785" s="60" t="s">
        <v>540</v>
      </c>
      <c r="C1785" s="4">
        <f>C1781*C1784</f>
        <v>479160.00000000017</v>
      </c>
      <c r="D1785" s="4">
        <f>D1781*D1784</f>
        <v>71390.000000000015</v>
      </c>
      <c r="E1785" s="61">
        <f>E1781*E1784</f>
        <v>171428.57142857142</v>
      </c>
      <c r="F1785" s="2">
        <f>SUM(C1785:E1785)</f>
        <v>721978.57142857159</v>
      </c>
      <c r="G1785" s="74">
        <f>F1785/F1781</f>
        <v>0.50754613142761884</v>
      </c>
    </row>
    <row r="1786" spans="2:8">
      <c r="B1786" s="60" t="s">
        <v>542</v>
      </c>
      <c r="C1786" s="4">
        <f>C1781-C1785</f>
        <v>186340.00000000006</v>
      </c>
      <c r="D1786" s="4">
        <f>D1781-D1785</f>
        <v>214170.00000000006</v>
      </c>
      <c r="E1786" s="61">
        <f>E1781-E1785</f>
        <v>300000</v>
      </c>
      <c r="F1786" s="11">
        <f>SUM(C1786:E1786)</f>
        <v>700510.00000000012</v>
      </c>
    </row>
    <row r="1787" spans="2:8">
      <c r="B1787" s="60" t="s">
        <v>543</v>
      </c>
      <c r="C1787" s="56">
        <f>C1786/F1786</f>
        <v>0.26600619548614585</v>
      </c>
      <c r="D1787" s="56">
        <f>D1786/F1786</f>
        <v>0.30573439351329751</v>
      </c>
      <c r="E1787" s="70">
        <f>E1786/F1786</f>
        <v>0.42825941100055664</v>
      </c>
    </row>
    <row r="1788" spans="2:8">
      <c r="B1788" s="60" t="s">
        <v>544</v>
      </c>
      <c r="C1788" s="21">
        <f>1/C1775</f>
        <v>0.12</v>
      </c>
      <c r="D1788" s="21">
        <f>1/D1775</f>
        <v>8.3333333333333329E-2</v>
      </c>
      <c r="E1788" s="62">
        <f>1/E1775</f>
        <v>9.0909090909090912E-2</v>
      </c>
      <c r="F1788" s="24" t="s">
        <v>545</v>
      </c>
    </row>
    <row r="1789" spans="2:8" ht="19.5" thickBot="1">
      <c r="B1789" s="63" t="s">
        <v>546</v>
      </c>
      <c r="C1789" s="71">
        <f>C1781*C1788</f>
        <v>79860.000000000029</v>
      </c>
      <c r="D1789" s="71">
        <f>D1781*D1788</f>
        <v>23796.666666666672</v>
      </c>
      <c r="E1789" s="72">
        <f>E1781*E1788</f>
        <v>42857.142857142855</v>
      </c>
      <c r="F1789" s="2">
        <f>SUM(C1789:E1789)</f>
        <v>146513.80952380956</v>
      </c>
      <c r="G1789" s="74">
        <f>F1789/F1781</f>
        <v>0.10299823314339124</v>
      </c>
      <c r="H1789" s="24" t="s">
        <v>547</v>
      </c>
    </row>
    <row r="1790" spans="2:8">
      <c r="B1790" s="57" t="s">
        <v>550</v>
      </c>
      <c r="C1790" s="58">
        <f>C1781*(1+C1778)</f>
        <v>732050.00000000035</v>
      </c>
      <c r="D1790" s="58">
        <f t="shared" ref="D1790:E1790" si="20">D1781*(1+D1778)</f>
        <v>314116.00000000012</v>
      </c>
      <c r="E1790" s="59">
        <f t="shared" si="20"/>
        <v>518571.42857142858</v>
      </c>
      <c r="F1790" s="2">
        <f>SUM(C1790:E1790)</f>
        <v>1564737.4285714291</v>
      </c>
      <c r="G1790" s="24"/>
      <c r="H1790" s="24" t="s">
        <v>549</v>
      </c>
    </row>
    <row r="1791" spans="2:8">
      <c r="B1791" s="60" t="s">
        <v>551</v>
      </c>
      <c r="C1791" s="4">
        <f>C1783+C1776</f>
        <v>7</v>
      </c>
      <c r="D1791" s="4">
        <f>D1783+D1776</f>
        <v>4.5</v>
      </c>
      <c r="E1791" s="61">
        <f>E1783+E1776</f>
        <v>5</v>
      </c>
    </row>
    <row r="1792" spans="2:8">
      <c r="B1792" s="60" t="s">
        <v>552</v>
      </c>
      <c r="C1792" s="21">
        <f>C1791/C1775</f>
        <v>0.84</v>
      </c>
      <c r="D1792" s="21">
        <f>D1791/D1775</f>
        <v>0.375</v>
      </c>
      <c r="E1792" s="62">
        <f>E1791/E1775</f>
        <v>0.45454545454545453</v>
      </c>
    </row>
    <row r="1793" spans="2:9">
      <c r="B1793" s="60" t="s">
        <v>552</v>
      </c>
      <c r="C1793" s="4">
        <f>C1790*C1792</f>
        <v>614922.00000000023</v>
      </c>
      <c r="D1793" s="4">
        <f t="shared" ref="D1793:E1793" si="21">D1790*D1792</f>
        <v>117793.50000000004</v>
      </c>
      <c r="E1793" s="61">
        <f t="shared" si="21"/>
        <v>235714.28571428571</v>
      </c>
      <c r="F1793" s="2">
        <f>SUM(C1793:E1793)</f>
        <v>968429.78571428591</v>
      </c>
      <c r="G1793" s="74">
        <f>F1793/F1790</f>
        <v>0.61890881372885742</v>
      </c>
      <c r="H1793" s="24" t="s">
        <v>554</v>
      </c>
    </row>
    <row r="1794" spans="2:9">
      <c r="B1794" s="60" t="s">
        <v>543</v>
      </c>
      <c r="C1794" s="4">
        <f>C1790/F1790</f>
        <v>0.46784207154062002</v>
      </c>
      <c r="D1794" s="4">
        <f>D1790/F1790</f>
        <v>0.20074677978833874</v>
      </c>
      <c r="E1794" s="61">
        <f>E1790/F1790</f>
        <v>0.33141114867104121</v>
      </c>
      <c r="F1794" s="2"/>
      <c r="G1794" s="51"/>
      <c r="H1794" s="24"/>
    </row>
    <row r="1795" spans="2:9" ht="19.5" thickBot="1">
      <c r="B1795" s="63" t="s">
        <v>552</v>
      </c>
      <c r="C1795" s="64">
        <f>C1792*C1794</f>
        <v>0.39298734009412079</v>
      </c>
      <c r="D1795" s="64">
        <f t="shared" ref="D1795:E1795" si="22">D1792*D1794</f>
        <v>7.5280042420627025E-2</v>
      </c>
      <c r="E1795" s="65">
        <f t="shared" si="22"/>
        <v>0.15064143121410964</v>
      </c>
      <c r="F1795" s="77">
        <f>SUM(C1795:E1795)</f>
        <v>0.61890881372885742</v>
      </c>
      <c r="G1795" s="24" t="s">
        <v>553</v>
      </c>
      <c r="H1795" s="24"/>
    </row>
    <row r="1802" spans="2:9" ht="19.5" thickBot="1"/>
    <row r="1803" spans="2:9" ht="40.5" customHeight="1" thickBot="1">
      <c r="B1803" s="226" t="s">
        <v>1008</v>
      </c>
      <c r="C1803" s="227"/>
      <c r="D1803" s="227"/>
      <c r="E1803" s="227"/>
      <c r="F1803" s="227"/>
      <c r="G1803" s="227"/>
      <c r="H1803" s="227"/>
      <c r="I1803" s="228"/>
    </row>
    <row r="1806" spans="2:9">
      <c r="B1806" s="3" t="s">
        <v>556</v>
      </c>
      <c r="C1806" s="3">
        <v>0.85</v>
      </c>
    </row>
    <row r="1807" spans="2:9">
      <c r="B1807" s="3" t="s">
        <v>557</v>
      </c>
      <c r="C1807" s="9">
        <v>1.1000000000000001</v>
      </c>
      <c r="D1807" s="24" t="s">
        <v>575</v>
      </c>
    </row>
    <row r="1808" spans="2:9">
      <c r="B1808" s="3" t="s">
        <v>558</v>
      </c>
      <c r="C1808" s="3">
        <v>1.4</v>
      </c>
    </row>
    <row r="1809" spans="2:9">
      <c r="B1809" s="3" t="s">
        <v>566</v>
      </c>
      <c r="C1809" s="36">
        <v>40179</v>
      </c>
    </row>
    <row r="1810" spans="2:9">
      <c r="B1810" s="3" t="s">
        <v>567</v>
      </c>
      <c r="C1810" s="36">
        <v>43101</v>
      </c>
    </row>
    <row r="1811" spans="2:9">
      <c r="B1811" s="6" t="s">
        <v>559</v>
      </c>
      <c r="C1811" s="3"/>
    </row>
    <row r="1812" spans="2:9">
      <c r="B1812" s="3" t="s">
        <v>560</v>
      </c>
      <c r="C1812" s="30">
        <f>C1806*(1+C1807)/C1808</f>
        <v>1.2750000000000001</v>
      </c>
    </row>
    <row r="1813" spans="2:9">
      <c r="B1813" s="3" t="s">
        <v>576</v>
      </c>
      <c r="C1813" s="30">
        <f>1/C1812</f>
        <v>0.78431372549019596</v>
      </c>
      <c r="D1813" s="35" t="s">
        <v>1009</v>
      </c>
    </row>
    <row r="1814" spans="2:9">
      <c r="B1814" s="3" t="s">
        <v>570</v>
      </c>
      <c r="C1814" s="75">
        <f>DATEDIF(C1809,C1810,"y")</f>
        <v>8</v>
      </c>
      <c r="D1814" s="35" t="s">
        <v>572</v>
      </c>
    </row>
    <row r="1815" spans="2:9">
      <c r="B1815" s="3" t="s">
        <v>1355</v>
      </c>
      <c r="C1815" s="144">
        <f>C1813^(1/C1814)</f>
        <v>0.97008821111434262</v>
      </c>
      <c r="D1815" s="35" t="s">
        <v>1010</v>
      </c>
    </row>
    <row r="1822" spans="2:9" ht="19.5" thickBot="1"/>
    <row r="1823" spans="2:9" ht="58.5" customHeight="1" thickBot="1">
      <c r="B1823" s="226" t="s">
        <v>1193</v>
      </c>
      <c r="C1823" s="227"/>
      <c r="D1823" s="227"/>
      <c r="E1823" s="227"/>
      <c r="F1823" s="227"/>
      <c r="G1823" s="227"/>
      <c r="H1823" s="227"/>
      <c r="I1823" s="228"/>
    </row>
    <row r="1826" spans="2:6">
      <c r="B1826" s="3" t="s">
        <v>86</v>
      </c>
      <c r="C1826" s="5">
        <v>1</v>
      </c>
      <c r="D1826" s="5">
        <v>2</v>
      </c>
      <c r="E1826" s="5">
        <v>3</v>
      </c>
    </row>
    <row r="1827" spans="2:6">
      <c r="B1827" s="3" t="s">
        <v>577</v>
      </c>
      <c r="C1827" s="4">
        <v>40000</v>
      </c>
      <c r="D1827" s="4">
        <f>C1829</f>
        <v>40000</v>
      </c>
      <c r="E1827" s="4">
        <f>D1829</f>
        <v>44000</v>
      </c>
    </row>
    <row r="1828" spans="2:6">
      <c r="B1828" s="3" t="s">
        <v>578</v>
      </c>
      <c r="C1828" s="22"/>
      <c r="D1828" s="22">
        <v>0.1</v>
      </c>
      <c r="E1828" s="22">
        <v>0.1</v>
      </c>
    </row>
    <row r="1829" spans="2:6">
      <c r="B1829" s="3" t="s">
        <v>579</v>
      </c>
      <c r="C1829" s="4">
        <f>C1827*(1+C1828)</f>
        <v>40000</v>
      </c>
      <c r="D1829" s="4">
        <f>D1827*(1+D1828)</f>
        <v>44000</v>
      </c>
      <c r="E1829" s="4">
        <f>E1827*(1+E1828)</f>
        <v>48400.000000000007</v>
      </c>
    </row>
    <row r="1830" spans="2:6">
      <c r="B1830" s="3" t="s">
        <v>88</v>
      </c>
      <c r="C1830" s="22">
        <v>0.15</v>
      </c>
      <c r="D1830" s="22">
        <v>0.15</v>
      </c>
      <c r="E1830" s="22">
        <v>0.15</v>
      </c>
    </row>
    <row r="1831" spans="2:6">
      <c r="B1831" s="3" t="s">
        <v>134</v>
      </c>
      <c r="C1831" s="4">
        <f>C1829/(1+C1830)^(C1826-0.5)</f>
        <v>37300.192329612546</v>
      </c>
      <c r="D1831" s="4">
        <f t="shared" ref="D1831:E1831" si="23">D1829/(1+D1830)^(D1826-0.5)</f>
        <v>35678.444837020703</v>
      </c>
      <c r="E1831" s="4">
        <f t="shared" si="23"/>
        <v>34127.208104976336</v>
      </c>
      <c r="F1831" s="11">
        <f>SUM(C1831:E1831)</f>
        <v>107105.84527160958</v>
      </c>
    </row>
    <row r="1832" spans="2:6">
      <c r="C1832" s="29"/>
      <c r="D1832" s="29"/>
      <c r="E1832" s="29"/>
    </row>
    <row r="1833" spans="2:6">
      <c r="B1833" s="78" t="s">
        <v>581</v>
      </c>
      <c r="C1833" s="29"/>
      <c r="D1833" s="29"/>
      <c r="E1833" s="29"/>
    </row>
    <row r="1834" spans="2:6">
      <c r="C1834" s="29"/>
      <c r="D1834" s="29"/>
      <c r="E1834" s="29"/>
    </row>
    <row r="1835" spans="2:6">
      <c r="C1835" s="29"/>
      <c r="D1835" s="29"/>
      <c r="E1835" s="29"/>
    </row>
    <row r="1836" spans="2:6">
      <c r="C1836" s="29"/>
      <c r="D1836" s="29"/>
      <c r="E1836" s="29"/>
    </row>
    <row r="1840" spans="2:6" ht="19.5" thickBot="1"/>
    <row r="1841" spans="2:9" ht="78.75" customHeight="1" thickBot="1">
      <c r="B1841" s="226" t="s">
        <v>1011</v>
      </c>
      <c r="C1841" s="227"/>
      <c r="D1841" s="227"/>
      <c r="E1841" s="227"/>
      <c r="F1841" s="227"/>
      <c r="G1841" s="227"/>
      <c r="H1841" s="227"/>
      <c r="I1841" s="228"/>
    </row>
    <row r="1844" spans="2:9">
      <c r="B1844" s="3" t="s">
        <v>582</v>
      </c>
      <c r="C1844" s="3">
        <v>300</v>
      </c>
    </row>
    <row r="1845" spans="2:9">
      <c r="B1845" s="3" t="s">
        <v>436</v>
      </c>
      <c r="C1845" s="3">
        <v>2.2000000000000002</v>
      </c>
    </row>
    <row r="1846" spans="2:9">
      <c r="B1846" s="3" t="s">
        <v>82</v>
      </c>
      <c r="C1846" s="9">
        <v>0.43</v>
      </c>
    </row>
    <row r="1847" spans="2:9">
      <c r="B1847" s="6" t="s">
        <v>559</v>
      </c>
      <c r="C1847" s="3"/>
    </row>
    <row r="1848" spans="2:9">
      <c r="B1848" s="3" t="s">
        <v>125</v>
      </c>
      <c r="C1848" s="3">
        <f>3242*C1844^0.4*C1845^0.7*2^0.2</f>
        <v>63323.277941531043</v>
      </c>
    </row>
    <row r="1849" spans="2:9">
      <c r="B1849" s="3" t="s">
        <v>13</v>
      </c>
      <c r="C1849" s="15">
        <f>C1848*(1-C1846)</f>
        <v>36094.268426672701</v>
      </c>
    </row>
    <row r="1856" spans="2:9" ht="19.5" thickBot="1"/>
    <row r="1857" spans="2:9" ht="134.25" customHeight="1" thickBot="1">
      <c r="B1857" s="226" t="s">
        <v>1012</v>
      </c>
      <c r="C1857" s="227"/>
      <c r="D1857" s="227"/>
      <c r="E1857" s="227"/>
      <c r="F1857" s="227"/>
      <c r="G1857" s="227"/>
      <c r="H1857" s="227"/>
      <c r="I1857" s="228"/>
    </row>
    <row r="1859" spans="2:9" ht="19.5" thickBot="1"/>
    <row r="1860" spans="2:9">
      <c r="B1860" s="57"/>
      <c r="C1860" s="58" t="s">
        <v>522</v>
      </c>
      <c r="D1860" s="58" t="s">
        <v>520</v>
      </c>
      <c r="E1860" s="59" t="s">
        <v>521</v>
      </c>
    </row>
    <row r="1861" spans="2:9">
      <c r="B1861" s="60" t="s">
        <v>523</v>
      </c>
      <c r="C1861" s="5">
        <v>3</v>
      </c>
      <c r="D1861" s="5">
        <v>2</v>
      </c>
      <c r="E1861" s="66">
        <v>0</v>
      </c>
    </row>
    <row r="1862" spans="2:9">
      <c r="B1862" s="60" t="s">
        <v>524</v>
      </c>
      <c r="C1862" s="22">
        <v>0.6</v>
      </c>
      <c r="D1862" s="22">
        <v>0</v>
      </c>
      <c r="E1862" s="61"/>
    </row>
    <row r="1863" spans="2:9">
      <c r="B1863" s="60" t="s">
        <v>525</v>
      </c>
      <c r="C1863" s="5">
        <v>5</v>
      </c>
      <c r="D1863" s="5">
        <v>0</v>
      </c>
      <c r="E1863" s="61"/>
    </row>
    <row r="1864" spans="2:9">
      <c r="B1864" s="60" t="s">
        <v>526</v>
      </c>
      <c r="C1864" s="5">
        <v>-2</v>
      </c>
      <c r="D1864" s="5">
        <v>0</v>
      </c>
      <c r="E1864" s="61"/>
    </row>
    <row r="1865" spans="2:9">
      <c r="B1865" s="60" t="s">
        <v>527</v>
      </c>
      <c r="C1865" s="53">
        <f>C1863+C1864</f>
        <v>3</v>
      </c>
      <c r="D1865" s="5">
        <v>0</v>
      </c>
      <c r="E1865" s="66">
        <v>4</v>
      </c>
    </row>
    <row r="1866" spans="2:9">
      <c r="B1866" s="60" t="s">
        <v>528</v>
      </c>
      <c r="C1866" s="5"/>
      <c r="D1866" s="5"/>
      <c r="E1866" s="66">
        <v>7</v>
      </c>
    </row>
    <row r="1867" spans="2:9">
      <c r="B1867" s="60" t="s">
        <v>265</v>
      </c>
      <c r="C1867" s="54">
        <f>1/(C1862/C1863)</f>
        <v>8.3333333333333339</v>
      </c>
      <c r="D1867" s="143">
        <v>12</v>
      </c>
      <c r="E1867" s="67">
        <f>E1865+E1866</f>
        <v>11</v>
      </c>
    </row>
    <row r="1868" spans="2:9">
      <c r="B1868" s="60" t="s">
        <v>530</v>
      </c>
      <c r="C1868" s="5">
        <v>1</v>
      </c>
      <c r="D1868" s="55">
        <v>1.5</v>
      </c>
      <c r="E1868" s="66">
        <v>1</v>
      </c>
      <c r="F1868" s="24" t="s">
        <v>531</v>
      </c>
    </row>
    <row r="1869" spans="2:9">
      <c r="B1869" s="60" t="s">
        <v>529</v>
      </c>
      <c r="C1869" s="4">
        <v>200000</v>
      </c>
      <c r="D1869" s="54">
        <f>200000*1.18</f>
        <v>236000</v>
      </c>
      <c r="E1869" s="61">
        <v>300000</v>
      </c>
      <c r="F1869" s="24" t="s">
        <v>535</v>
      </c>
    </row>
    <row r="1870" spans="2:9">
      <c r="B1870" s="60" t="s">
        <v>532</v>
      </c>
      <c r="C1870" s="22">
        <v>0.1</v>
      </c>
      <c r="D1870" s="22">
        <v>0.1</v>
      </c>
      <c r="E1870" s="68">
        <v>0.1</v>
      </c>
    </row>
    <row r="1871" spans="2:9">
      <c r="B1871" s="60" t="s">
        <v>533</v>
      </c>
      <c r="C1871" s="21">
        <f>C1865/C1867</f>
        <v>0.36</v>
      </c>
      <c r="D1871" s="21">
        <f>D1865/D1867</f>
        <v>0</v>
      </c>
      <c r="E1871" s="62">
        <f>E1865/E1867</f>
        <v>0.36363636363636365</v>
      </c>
      <c r="F1871" s="24" t="s">
        <v>511</v>
      </c>
    </row>
    <row r="1872" spans="2:9">
      <c r="B1872" s="60" t="s">
        <v>534</v>
      </c>
      <c r="C1872" s="4">
        <f>C1869/(1-C1862)</f>
        <v>500000</v>
      </c>
      <c r="D1872" s="4">
        <f>D1869/(1-D1862)</f>
        <v>236000</v>
      </c>
      <c r="E1872" s="61">
        <f>E1869/(1-E1865/E1867)</f>
        <v>471428.57142857142</v>
      </c>
      <c r="F1872" s="24" t="s">
        <v>905</v>
      </c>
    </row>
    <row r="1873" spans="2:8">
      <c r="B1873" s="60" t="s">
        <v>541</v>
      </c>
      <c r="C1873" s="54">
        <f>C1872*(1+C1870)^C1861</f>
        <v>665500.00000000023</v>
      </c>
      <c r="D1873" s="54">
        <f>D1872*(1+D1870)^D1861</f>
        <v>285560.00000000006</v>
      </c>
      <c r="E1873" s="69">
        <f>E1872*(1+E1870)^E1861</f>
        <v>471428.57142857142</v>
      </c>
      <c r="F1873" s="2">
        <f>SUM(C1873:E1873)</f>
        <v>1422488.5714285716</v>
      </c>
      <c r="G1873" s="24" t="s">
        <v>548</v>
      </c>
    </row>
    <row r="1874" spans="2:8">
      <c r="B1874" s="60" t="s">
        <v>536</v>
      </c>
      <c r="C1874" s="4">
        <f>C1873/1.18</f>
        <v>563983.05084745784</v>
      </c>
      <c r="D1874" s="4">
        <f t="shared" ref="D1874:E1874" si="24">D1873/1.18</f>
        <v>242000.00000000006</v>
      </c>
      <c r="E1874" s="61">
        <f t="shared" si="24"/>
        <v>399515.73849878937</v>
      </c>
      <c r="F1874" s="24" t="s">
        <v>537</v>
      </c>
      <c r="G1874" s="24"/>
    </row>
    <row r="1875" spans="2:8">
      <c r="B1875" s="60" t="s">
        <v>538</v>
      </c>
      <c r="C1875" s="4">
        <f>(C1861+C1865)*C1868</f>
        <v>6</v>
      </c>
      <c r="D1875" s="4">
        <f>(D1861+D1865)*D1868</f>
        <v>3</v>
      </c>
      <c r="E1875" s="61">
        <f>(E1861+E1865)*E1868</f>
        <v>4</v>
      </c>
      <c r="F1875" s="24" t="s">
        <v>539</v>
      </c>
    </row>
    <row r="1876" spans="2:8">
      <c r="B1876" s="60" t="s">
        <v>371</v>
      </c>
      <c r="C1876" s="21">
        <f>C1875/C1867</f>
        <v>0.72</v>
      </c>
      <c r="D1876" s="21">
        <f>D1875/D1867</f>
        <v>0.25</v>
      </c>
      <c r="E1876" s="62">
        <f>E1875/E1867</f>
        <v>0.36363636363636365</v>
      </c>
      <c r="F1876" s="24" t="s">
        <v>555</v>
      </c>
    </row>
    <row r="1877" spans="2:8">
      <c r="B1877" s="60" t="s">
        <v>540</v>
      </c>
      <c r="C1877" s="4">
        <f>C1873*C1876</f>
        <v>479160.00000000017</v>
      </c>
      <c r="D1877" s="4">
        <f>D1873*D1876</f>
        <v>71390.000000000015</v>
      </c>
      <c r="E1877" s="61">
        <f>E1873*E1876</f>
        <v>171428.57142857142</v>
      </c>
      <c r="F1877" s="2">
        <f>SUM(C1877:E1877)</f>
        <v>721978.57142857159</v>
      </c>
      <c r="G1877" s="74">
        <f>F1877/F1873</f>
        <v>0.50754613142761884</v>
      </c>
    </row>
    <row r="1878" spans="2:8">
      <c r="B1878" s="60" t="s">
        <v>542</v>
      </c>
      <c r="C1878" s="4">
        <f>C1873-C1877</f>
        <v>186340.00000000006</v>
      </c>
      <c r="D1878" s="4">
        <f>D1873-D1877</f>
        <v>214170.00000000006</v>
      </c>
      <c r="E1878" s="61">
        <f>E1873-E1877</f>
        <v>300000</v>
      </c>
      <c r="F1878" s="2">
        <f>SUM(C1878:E1878)</f>
        <v>700510.00000000012</v>
      </c>
    </row>
    <row r="1879" spans="2:8">
      <c r="B1879" s="60" t="s">
        <v>543</v>
      </c>
      <c r="C1879" s="56">
        <f>C1878/F1878</f>
        <v>0.26600619548614585</v>
      </c>
      <c r="D1879" s="56">
        <f>D1878/F1878</f>
        <v>0.30573439351329751</v>
      </c>
      <c r="E1879" s="70">
        <f>E1878/F1878</f>
        <v>0.42825941100055664</v>
      </c>
    </row>
    <row r="1880" spans="2:8">
      <c r="B1880" s="60" t="s">
        <v>544</v>
      </c>
      <c r="C1880" s="21">
        <f>1/C1867</f>
        <v>0.12</v>
      </c>
      <c r="D1880" s="21">
        <f>1/D1867</f>
        <v>8.3333333333333329E-2</v>
      </c>
      <c r="E1880" s="62">
        <f>1/E1867</f>
        <v>9.0909090909090912E-2</v>
      </c>
      <c r="F1880" s="24" t="s">
        <v>545</v>
      </c>
    </row>
    <row r="1881" spans="2:8" ht="19.5" thickBot="1">
      <c r="B1881" s="63" t="s">
        <v>546</v>
      </c>
      <c r="C1881" s="71">
        <f>C1873*C1880</f>
        <v>79860.000000000029</v>
      </c>
      <c r="D1881" s="71">
        <f>D1873*D1880</f>
        <v>23796.666666666672</v>
      </c>
      <c r="E1881" s="72">
        <f>E1873*E1880</f>
        <v>42857.142857142855</v>
      </c>
      <c r="F1881" s="2">
        <f>SUM(C1881:E1881)</f>
        <v>146513.80952380956</v>
      </c>
      <c r="G1881" s="74">
        <f>F1881/F1873</f>
        <v>0.10299823314339124</v>
      </c>
      <c r="H1881" s="24" t="s">
        <v>547</v>
      </c>
    </row>
    <row r="1882" spans="2:8">
      <c r="B1882" s="57" t="s">
        <v>1013</v>
      </c>
      <c r="C1882" s="58">
        <f>C1873/(1+C1870)</f>
        <v>605000.00000000012</v>
      </c>
      <c r="D1882" s="58">
        <f t="shared" ref="D1882:E1882" si="25">D1873/(1+D1870)</f>
        <v>259600.00000000003</v>
      </c>
      <c r="E1882" s="59">
        <f t="shared" si="25"/>
        <v>428571.42857142852</v>
      </c>
      <c r="F1882" s="2">
        <f>SUM(C1882:E1882)</f>
        <v>1293171.4285714286</v>
      </c>
      <c r="G1882" s="24"/>
      <c r="H1882" s="24" t="s">
        <v>549</v>
      </c>
    </row>
    <row r="1883" spans="2:8">
      <c r="B1883" s="60" t="s">
        <v>583</v>
      </c>
      <c r="C1883" s="4">
        <f>C1875-C1868</f>
        <v>5</v>
      </c>
      <c r="D1883" s="4">
        <f>D1875-D1868</f>
        <v>1.5</v>
      </c>
      <c r="E1883" s="61">
        <f>E1875-E1868</f>
        <v>3</v>
      </c>
    </row>
    <row r="1884" spans="2:8">
      <c r="B1884" s="60" t="s">
        <v>584</v>
      </c>
      <c r="C1884" s="21">
        <f>C1883/C1867</f>
        <v>0.6</v>
      </c>
      <c r="D1884" s="21">
        <f>D1883/D1867</f>
        <v>0.125</v>
      </c>
      <c r="E1884" s="62">
        <f>E1883/E1867</f>
        <v>0.27272727272727271</v>
      </c>
    </row>
    <row r="1885" spans="2:8">
      <c r="B1885" s="60" t="s">
        <v>584</v>
      </c>
      <c r="C1885" s="4">
        <f>C1882*C1884</f>
        <v>363000.00000000006</v>
      </c>
      <c r="D1885" s="4">
        <f t="shared" ref="D1885:E1885" si="26">D1882*D1884</f>
        <v>32450.000000000004</v>
      </c>
      <c r="E1885" s="61">
        <f t="shared" si="26"/>
        <v>116883.11688311686</v>
      </c>
      <c r="F1885" s="11">
        <f>SUM(C1885:E1885)</f>
        <v>512333.11688311689</v>
      </c>
      <c r="G1885" s="74">
        <f>F1885/F1882</f>
        <v>0.39618344912638009</v>
      </c>
      <c r="H1885" s="24" t="s">
        <v>554</v>
      </c>
    </row>
    <row r="1886" spans="2:8">
      <c r="B1886" s="60" t="s">
        <v>543</v>
      </c>
      <c r="C1886" s="4">
        <f>C1882/F1882</f>
        <v>0.46784207154062002</v>
      </c>
      <c r="D1886" s="4">
        <f>D1882/F1882</f>
        <v>0.20074677978833877</v>
      </c>
      <c r="E1886" s="61">
        <f>E1882/F1882</f>
        <v>0.33141114867104121</v>
      </c>
      <c r="F1886" s="2"/>
      <c r="G1886" s="51"/>
      <c r="H1886" s="24"/>
    </row>
    <row r="1887" spans="2:8" ht="19.5" thickBot="1">
      <c r="B1887" s="63" t="s">
        <v>584</v>
      </c>
      <c r="C1887" s="64">
        <f>C1884*C1886</f>
        <v>0.28070524292437199</v>
      </c>
      <c r="D1887" s="64">
        <f t="shared" ref="D1887:E1887" si="27">D1884*D1886</f>
        <v>2.5093347473542346E-2</v>
      </c>
      <c r="E1887" s="65">
        <f t="shared" si="27"/>
        <v>9.0384858728465772E-2</v>
      </c>
      <c r="F1887" s="77">
        <f>SUM(C1887:E1887)</f>
        <v>0.39618344912638015</v>
      </c>
      <c r="G1887" s="24" t="s">
        <v>553</v>
      </c>
      <c r="H1887" s="24"/>
    </row>
    <row r="1890" spans="2:9" ht="19.5" thickBot="1"/>
    <row r="1891" spans="2:9" ht="87.6" customHeight="1" thickBot="1">
      <c r="B1891" s="226" t="s">
        <v>1117</v>
      </c>
      <c r="C1891" s="227"/>
      <c r="D1891" s="227"/>
      <c r="E1891" s="227"/>
      <c r="F1891" s="227"/>
      <c r="G1891" s="227"/>
      <c r="H1891" s="227"/>
      <c r="I1891" s="228"/>
    </row>
    <row r="1894" spans="2:9">
      <c r="B1894" s="3" t="s">
        <v>1051</v>
      </c>
      <c r="C1894" s="3">
        <v>5000</v>
      </c>
    </row>
    <row r="1895" spans="2:9">
      <c r="B1895" s="3" t="s">
        <v>1023</v>
      </c>
      <c r="C1895" s="107">
        <v>16</v>
      </c>
      <c r="D1895" s="35" t="s">
        <v>1054</v>
      </c>
    </row>
    <row r="1896" spans="2:9">
      <c r="B1896" s="6" t="s">
        <v>559</v>
      </c>
      <c r="C1896" s="3"/>
    </row>
    <row r="1897" spans="2:9">
      <c r="B1897" s="3" t="s">
        <v>1052</v>
      </c>
      <c r="C1897" s="30">
        <v>1.0149999999999999</v>
      </c>
    </row>
    <row r="1898" spans="2:9">
      <c r="B1898" s="3" t="s">
        <v>1053</v>
      </c>
      <c r="C1898" s="30">
        <v>1.218</v>
      </c>
    </row>
    <row r="1899" spans="2:9">
      <c r="B1899" s="3" t="s">
        <v>444</v>
      </c>
      <c r="C1899" s="3">
        <f>C1898/C1897</f>
        <v>1.2000000000000002</v>
      </c>
    </row>
    <row r="1900" spans="2:9">
      <c r="B1900" s="3" t="s">
        <v>1055</v>
      </c>
      <c r="C1900" s="15">
        <f>C1894*C1899</f>
        <v>6000.0000000000009</v>
      </c>
    </row>
    <row r="1903" spans="2:9" ht="19.5" thickBot="1"/>
    <row r="1904" spans="2:9" ht="38.450000000000003" customHeight="1" thickBot="1">
      <c r="B1904" s="226" t="s">
        <v>1190</v>
      </c>
      <c r="C1904" s="227"/>
      <c r="D1904" s="227"/>
      <c r="E1904" s="227"/>
      <c r="F1904" s="227"/>
      <c r="G1904" s="227"/>
      <c r="H1904" s="227"/>
      <c r="I1904" s="228"/>
    </row>
    <row r="1907" spans="2:9">
      <c r="B1907" s="3" t="s">
        <v>1056</v>
      </c>
      <c r="C1907" s="107">
        <v>1500</v>
      </c>
    </row>
    <row r="1908" spans="2:9">
      <c r="B1908" s="3" t="s">
        <v>1057</v>
      </c>
      <c r="C1908" s="112">
        <v>0.7</v>
      </c>
    </row>
    <row r="1909" spans="2:9">
      <c r="B1909" s="3" t="s">
        <v>10</v>
      </c>
      <c r="C1909" s="3">
        <v>30000000</v>
      </c>
      <c r="D1909" s="35"/>
    </row>
    <row r="1910" spans="2:9">
      <c r="B1910" s="3" t="s">
        <v>1058</v>
      </c>
      <c r="C1910" s="3">
        <v>5000</v>
      </c>
      <c r="D1910" s="35"/>
    </row>
    <row r="1911" spans="2:9">
      <c r="B1911" s="6" t="s">
        <v>559</v>
      </c>
      <c r="C1911" s="3"/>
    </row>
    <row r="1912" spans="2:9">
      <c r="B1912" s="3" t="s">
        <v>1077</v>
      </c>
      <c r="C1912" s="15">
        <f>C1909*(1-C1908)</f>
        <v>9000000.0000000019</v>
      </c>
      <c r="D1912" s="35" t="s">
        <v>1059</v>
      </c>
    </row>
    <row r="1915" spans="2:9" ht="19.5" thickBot="1"/>
    <row r="1916" spans="2:9" ht="130.5" customHeight="1" thickBot="1">
      <c r="B1916" s="226" t="s">
        <v>1060</v>
      </c>
      <c r="C1916" s="227"/>
      <c r="D1916" s="227"/>
      <c r="E1916" s="227"/>
      <c r="F1916" s="227"/>
      <c r="G1916" s="227"/>
      <c r="H1916" s="227"/>
      <c r="I1916" s="228"/>
    </row>
    <row r="1918" spans="2:9" ht="19.5" thickBot="1"/>
    <row r="1919" spans="2:9">
      <c r="B1919" s="57"/>
      <c r="C1919" s="58" t="s">
        <v>522</v>
      </c>
      <c r="D1919" s="58" t="s">
        <v>520</v>
      </c>
      <c r="E1919" s="59" t="s">
        <v>521</v>
      </c>
    </row>
    <row r="1920" spans="2:9">
      <c r="B1920" s="60" t="s">
        <v>523</v>
      </c>
      <c r="C1920" s="5">
        <v>3</v>
      </c>
      <c r="D1920" s="5">
        <v>2</v>
      </c>
      <c r="E1920" s="66">
        <v>0</v>
      </c>
    </row>
    <row r="1921" spans="2:7">
      <c r="B1921" s="60" t="s">
        <v>524</v>
      </c>
      <c r="C1921" s="22">
        <v>0.6</v>
      </c>
      <c r="D1921" s="22">
        <v>0</v>
      </c>
      <c r="E1921" s="61"/>
    </row>
    <row r="1922" spans="2:7">
      <c r="B1922" s="60" t="s">
        <v>525</v>
      </c>
      <c r="C1922" s="5">
        <v>5</v>
      </c>
      <c r="D1922" s="5">
        <v>0</v>
      </c>
      <c r="E1922" s="61"/>
    </row>
    <row r="1923" spans="2:7">
      <c r="B1923" s="60" t="s">
        <v>526</v>
      </c>
      <c r="C1923" s="5">
        <v>-2</v>
      </c>
      <c r="D1923" s="5">
        <v>0</v>
      </c>
      <c r="E1923" s="61"/>
    </row>
    <row r="1924" spans="2:7">
      <c r="B1924" s="60" t="s">
        <v>527</v>
      </c>
      <c r="C1924" s="53">
        <f>C1922+C1923</f>
        <v>3</v>
      </c>
      <c r="D1924" s="5">
        <v>0</v>
      </c>
      <c r="E1924" s="66">
        <v>4</v>
      </c>
    </row>
    <row r="1925" spans="2:7">
      <c r="B1925" s="60" t="s">
        <v>528</v>
      </c>
      <c r="C1925" s="5"/>
      <c r="D1925" s="5"/>
      <c r="E1925" s="66">
        <v>7</v>
      </c>
    </row>
    <row r="1926" spans="2:7">
      <c r="B1926" s="60" t="s">
        <v>265</v>
      </c>
      <c r="C1926" s="54">
        <f>1/(C1921/C1922)</f>
        <v>8.3333333333333339</v>
      </c>
      <c r="D1926" s="143">
        <v>12</v>
      </c>
      <c r="E1926" s="67">
        <f>E1924+E1925</f>
        <v>11</v>
      </c>
    </row>
    <row r="1927" spans="2:7">
      <c r="B1927" s="60" t="s">
        <v>530</v>
      </c>
      <c r="C1927" s="5">
        <v>1</v>
      </c>
      <c r="D1927" s="55">
        <v>1.5</v>
      </c>
      <c r="E1927" s="66">
        <v>1</v>
      </c>
      <c r="F1927" s="24" t="s">
        <v>531</v>
      </c>
    </row>
    <row r="1928" spans="2:7">
      <c r="B1928" s="60" t="s">
        <v>529</v>
      </c>
      <c r="C1928" s="4">
        <v>200000</v>
      </c>
      <c r="D1928" s="54">
        <f>200000*1.18</f>
        <v>236000</v>
      </c>
      <c r="E1928" s="61">
        <v>300000</v>
      </c>
      <c r="F1928" s="24" t="s">
        <v>535</v>
      </c>
    </row>
    <row r="1929" spans="2:7">
      <c r="B1929" s="60" t="s">
        <v>532</v>
      </c>
      <c r="C1929" s="22">
        <v>0.1</v>
      </c>
      <c r="D1929" s="22">
        <v>0.1</v>
      </c>
      <c r="E1929" s="68">
        <v>0.1</v>
      </c>
    </row>
    <row r="1930" spans="2:7">
      <c r="B1930" s="60" t="s">
        <v>533</v>
      </c>
      <c r="C1930" s="21">
        <f>C1924/C1926</f>
        <v>0.36</v>
      </c>
      <c r="D1930" s="21">
        <f>D1924/D1926</f>
        <v>0</v>
      </c>
      <c r="E1930" s="62">
        <f>E1924/E1926</f>
        <v>0.36363636363636365</v>
      </c>
      <c r="F1930" s="24" t="s">
        <v>511</v>
      </c>
    </row>
    <row r="1931" spans="2:7">
      <c r="B1931" s="60" t="s">
        <v>534</v>
      </c>
      <c r="C1931" s="4">
        <f>C1928/(1-C1921)</f>
        <v>500000</v>
      </c>
      <c r="D1931" s="4">
        <f>D1928/(1-D1921)</f>
        <v>236000</v>
      </c>
      <c r="E1931" s="61">
        <f>E1928/(1-E1924/E1926)</f>
        <v>471428.57142857142</v>
      </c>
      <c r="F1931" s="24" t="s">
        <v>905</v>
      </c>
    </row>
    <row r="1932" spans="2:7">
      <c r="B1932" s="60" t="s">
        <v>541</v>
      </c>
      <c r="C1932" s="54">
        <f>C1931*(1+C1929)^C1920</f>
        <v>665500.00000000023</v>
      </c>
      <c r="D1932" s="54">
        <f>D1931*(1+D1929)^D1920</f>
        <v>285560.00000000006</v>
      </c>
      <c r="E1932" s="69">
        <f>E1931*(1+E1929)^E1920</f>
        <v>471428.57142857142</v>
      </c>
      <c r="F1932" s="2">
        <f>SUM(C1932:E1932)</f>
        <v>1422488.5714285716</v>
      </c>
      <c r="G1932" s="24" t="s">
        <v>548</v>
      </c>
    </row>
    <row r="1933" spans="2:7">
      <c r="B1933" s="60" t="s">
        <v>536</v>
      </c>
      <c r="C1933" s="4">
        <f>C1932/1.18</f>
        <v>563983.05084745784</v>
      </c>
      <c r="D1933" s="4">
        <f t="shared" ref="D1933:E1933" si="28">D1932/1.18</f>
        <v>242000.00000000006</v>
      </c>
      <c r="E1933" s="61">
        <f t="shared" si="28"/>
        <v>399515.73849878937</v>
      </c>
      <c r="F1933" s="24" t="s">
        <v>537</v>
      </c>
      <c r="G1933" s="24"/>
    </row>
    <row r="1934" spans="2:7">
      <c r="B1934" s="60" t="s">
        <v>538</v>
      </c>
      <c r="C1934" s="4">
        <f>(C1920+C1924)*C1927</f>
        <v>6</v>
      </c>
      <c r="D1934" s="4">
        <f>(D1920+D1924)*D1927</f>
        <v>3</v>
      </c>
      <c r="E1934" s="61">
        <f>(E1920+E1924)*E1927</f>
        <v>4</v>
      </c>
      <c r="F1934" s="24" t="s">
        <v>539</v>
      </c>
    </row>
    <row r="1935" spans="2:7">
      <c r="B1935" s="60" t="s">
        <v>371</v>
      </c>
      <c r="C1935" s="21">
        <f>C1934/C1926</f>
        <v>0.72</v>
      </c>
      <c r="D1935" s="21">
        <f>D1934/D1926</f>
        <v>0.25</v>
      </c>
      <c r="E1935" s="62">
        <f>E1934/E1926</f>
        <v>0.36363636363636365</v>
      </c>
      <c r="F1935" s="24" t="s">
        <v>555</v>
      </c>
    </row>
    <row r="1936" spans="2:7">
      <c r="B1936" s="60" t="s">
        <v>540</v>
      </c>
      <c r="C1936" s="4">
        <f>C1932*C1935</f>
        <v>479160.00000000017</v>
      </c>
      <c r="D1936" s="4">
        <f>D1932*D1935</f>
        <v>71390.000000000015</v>
      </c>
      <c r="E1936" s="61">
        <f>E1932*E1935</f>
        <v>171428.57142857142</v>
      </c>
      <c r="F1936" s="2">
        <f>SUM(C1936:E1936)</f>
        <v>721978.57142857159</v>
      </c>
      <c r="G1936" s="74">
        <f>F1936/F1932</f>
        <v>0.50754613142761884</v>
      </c>
    </row>
    <row r="1937" spans="2:9">
      <c r="B1937" s="60" t="s">
        <v>542</v>
      </c>
      <c r="C1937" s="4">
        <f>C1932-C1936</f>
        <v>186340.00000000006</v>
      </c>
      <c r="D1937" s="4">
        <f>D1932-D1936</f>
        <v>214170.00000000006</v>
      </c>
      <c r="E1937" s="61">
        <f>E1932-E1936</f>
        <v>300000</v>
      </c>
      <c r="F1937" s="2">
        <f>SUM(C1937:E1937)</f>
        <v>700510.00000000012</v>
      </c>
    </row>
    <row r="1938" spans="2:9">
      <c r="B1938" s="60" t="s">
        <v>543</v>
      </c>
      <c r="C1938" s="56">
        <f>C1937/F1937</f>
        <v>0.26600619548614585</v>
      </c>
      <c r="D1938" s="56">
        <f>D1937/F1937</f>
        <v>0.30573439351329751</v>
      </c>
      <c r="E1938" s="70">
        <f>E1937/F1937</f>
        <v>0.42825941100055664</v>
      </c>
    </row>
    <row r="1939" spans="2:9">
      <c r="B1939" s="60" t="s">
        <v>544</v>
      </c>
      <c r="C1939" s="21">
        <f>1/C1926</f>
        <v>0.12</v>
      </c>
      <c r="D1939" s="21">
        <f>1/D1926</f>
        <v>8.3333333333333329E-2</v>
      </c>
      <c r="E1939" s="62">
        <f>1/E1926</f>
        <v>9.0909090909090912E-2</v>
      </c>
      <c r="F1939" s="24" t="s">
        <v>545</v>
      </c>
    </row>
    <row r="1940" spans="2:9" ht="19.5" thickBot="1">
      <c r="B1940" s="63" t="s">
        <v>546</v>
      </c>
      <c r="C1940" s="71">
        <f>C1932*C1939</f>
        <v>79860.000000000029</v>
      </c>
      <c r="D1940" s="71">
        <f>D1932*D1939</f>
        <v>23796.666666666672</v>
      </c>
      <c r="E1940" s="72">
        <f>E1932*E1939</f>
        <v>42857.142857142855</v>
      </c>
      <c r="F1940" s="2">
        <f>SUM(C1940:E1940)</f>
        <v>146513.80952380956</v>
      </c>
      <c r="G1940" s="74">
        <f>F1940/F1932</f>
        <v>0.10299823314339124</v>
      </c>
      <c r="H1940" s="24" t="s">
        <v>547</v>
      </c>
    </row>
    <row r="1941" spans="2:9">
      <c r="B1941" s="57" t="s">
        <v>1013</v>
      </c>
      <c r="C1941" s="58">
        <f>C1932/(1+C1929)</f>
        <v>605000.00000000012</v>
      </c>
      <c r="D1941" s="58">
        <f t="shared" ref="D1941:E1941" si="29">D1932/(1+D1929)</f>
        <v>259600.00000000003</v>
      </c>
      <c r="E1941" s="59">
        <f t="shared" si="29"/>
        <v>428571.42857142852</v>
      </c>
      <c r="F1941" s="2">
        <f>SUM(C1941:E1941)</f>
        <v>1293171.4285714286</v>
      </c>
      <c r="G1941" s="24"/>
      <c r="H1941" s="24" t="s">
        <v>549</v>
      </c>
    </row>
    <row r="1942" spans="2:9">
      <c r="B1942" s="60" t="s">
        <v>583</v>
      </c>
      <c r="C1942" s="4">
        <f>C1934-C1927</f>
        <v>5</v>
      </c>
      <c r="D1942" s="4">
        <f>D1934-D1927</f>
        <v>1.5</v>
      </c>
      <c r="E1942" s="61">
        <f>E1934-E1927</f>
        <v>3</v>
      </c>
    </row>
    <row r="1943" spans="2:9">
      <c r="B1943" s="60" t="s">
        <v>584</v>
      </c>
      <c r="C1943" s="21">
        <f>C1942/C1926</f>
        <v>0.6</v>
      </c>
      <c r="D1943" s="21">
        <f>D1942/D1926</f>
        <v>0.125</v>
      </c>
      <c r="E1943" s="62">
        <f>E1942/E1926</f>
        <v>0.27272727272727271</v>
      </c>
    </row>
    <row r="1944" spans="2:9">
      <c r="B1944" s="60" t="s">
        <v>584</v>
      </c>
      <c r="C1944" s="4">
        <f>C1941*C1943</f>
        <v>363000.00000000006</v>
      </c>
      <c r="D1944" s="4">
        <f t="shared" ref="D1944:E1944" si="30">D1941*D1943</f>
        <v>32450.000000000004</v>
      </c>
      <c r="E1944" s="61">
        <f t="shared" si="30"/>
        <v>116883.11688311686</v>
      </c>
      <c r="F1944" s="2">
        <f>SUM(C1944:E1944)</f>
        <v>512333.11688311689</v>
      </c>
      <c r="G1944" s="73">
        <f>F1944/F1941</f>
        <v>0.39618344912638009</v>
      </c>
      <c r="H1944" s="24" t="s">
        <v>554</v>
      </c>
    </row>
    <row r="1945" spans="2:9">
      <c r="B1945" s="60" t="s">
        <v>543</v>
      </c>
      <c r="C1945" s="4">
        <f>C1941/F1941</f>
        <v>0.46784207154062002</v>
      </c>
      <c r="D1945" s="4">
        <f>D1941/F1941</f>
        <v>0.20074677978833877</v>
      </c>
      <c r="E1945" s="61">
        <f>E1941/F1941</f>
        <v>0.33141114867104121</v>
      </c>
      <c r="F1945" s="2"/>
      <c r="G1945" s="51"/>
      <c r="H1945" s="24"/>
    </row>
    <row r="1946" spans="2:9" ht="19.5" thickBot="1">
      <c r="B1946" s="63" t="s">
        <v>584</v>
      </c>
      <c r="C1946" s="64">
        <f>C1943*C1945</f>
        <v>0.28070524292437199</v>
      </c>
      <c r="D1946" s="64">
        <f t="shared" ref="D1946:E1946" si="31">D1943*D1945</f>
        <v>2.5093347473542346E-2</v>
      </c>
      <c r="E1946" s="65">
        <f t="shared" si="31"/>
        <v>9.0384858728465772E-2</v>
      </c>
      <c r="F1946" s="77">
        <f>SUM(C1946:E1946)</f>
        <v>0.39618344912638015</v>
      </c>
      <c r="G1946" s="24" t="s">
        <v>553</v>
      </c>
      <c r="H1946" s="24"/>
    </row>
    <row r="1949" spans="2:9" ht="19.5" thickBot="1"/>
    <row r="1950" spans="2:9" ht="327" customHeight="1" thickBot="1">
      <c r="B1950" s="226" t="s">
        <v>1061</v>
      </c>
      <c r="C1950" s="227"/>
      <c r="D1950" s="227"/>
      <c r="E1950" s="227"/>
      <c r="F1950" s="227"/>
      <c r="G1950" s="227"/>
      <c r="H1950" s="227"/>
      <c r="I1950" s="228"/>
    </row>
    <row r="1952" spans="2:9">
      <c r="B1952" s="2" t="s">
        <v>1014</v>
      </c>
      <c r="C1952" s="1" t="s">
        <v>1015</v>
      </c>
      <c r="D1952" s="1" t="s">
        <v>1016</v>
      </c>
    </row>
    <row r="1953" spans="2:4">
      <c r="B1953" s="145" t="s">
        <v>23</v>
      </c>
      <c r="C1953" s="1">
        <v>65000000</v>
      </c>
      <c r="D1953" s="1" t="s">
        <v>735</v>
      </c>
    </row>
    <row r="1954" spans="2:4">
      <c r="B1954" s="2" t="s">
        <v>1017</v>
      </c>
      <c r="C1954" s="1" t="s">
        <v>1015</v>
      </c>
      <c r="D1954" s="1" t="s">
        <v>1016</v>
      </c>
    </row>
    <row r="1955" spans="2:4">
      <c r="B1955" s="145" t="s">
        <v>23</v>
      </c>
      <c r="C1955" s="1">
        <v>180000000</v>
      </c>
      <c r="D1955" s="1" t="s">
        <v>735</v>
      </c>
    </row>
    <row r="1956" spans="2:4">
      <c r="B1956" s="2" t="s">
        <v>1018</v>
      </c>
      <c r="C1956" s="1" t="s">
        <v>1015</v>
      </c>
      <c r="D1956" s="1" t="s">
        <v>1016</v>
      </c>
    </row>
    <row r="1957" spans="2:4">
      <c r="B1957" s="145" t="s">
        <v>23</v>
      </c>
      <c r="C1957" s="1">
        <v>35000000</v>
      </c>
      <c r="D1957" s="1" t="s">
        <v>735</v>
      </c>
    </row>
    <row r="1958" spans="2:4">
      <c r="B1958" s="2" t="s">
        <v>1020</v>
      </c>
      <c r="C1958" s="1" t="s">
        <v>1015</v>
      </c>
      <c r="D1958" s="1" t="s">
        <v>1021</v>
      </c>
    </row>
    <row r="1959" spans="2:4">
      <c r="B1959" s="145" t="s">
        <v>1022</v>
      </c>
      <c r="C1959" s="1">
        <v>75000000</v>
      </c>
      <c r="D1959" s="1" t="s">
        <v>735</v>
      </c>
    </row>
    <row r="1960" spans="2:4">
      <c r="B1960" s="145" t="s">
        <v>1023</v>
      </c>
      <c r="C1960" s="1">
        <v>15</v>
      </c>
    </row>
    <row r="1961" spans="2:4">
      <c r="B1961" s="145" t="s">
        <v>205</v>
      </c>
      <c r="C1961" s="1">
        <v>7</v>
      </c>
    </row>
    <row r="1962" spans="2:4">
      <c r="B1962" s="2" t="s">
        <v>1024</v>
      </c>
      <c r="C1962" s="1" t="s">
        <v>1025</v>
      </c>
    </row>
    <row r="1963" spans="2:4">
      <c r="B1963" s="145" t="s">
        <v>23</v>
      </c>
      <c r="C1963" s="1">
        <v>185000000</v>
      </c>
      <c r="D1963" s="1" t="s">
        <v>734</v>
      </c>
    </row>
    <row r="1964" spans="2:4">
      <c r="B1964" s="2" t="s">
        <v>1026</v>
      </c>
      <c r="C1964" s="1" t="s">
        <v>1015</v>
      </c>
      <c r="D1964" s="1" t="s">
        <v>1021</v>
      </c>
    </row>
    <row r="1965" spans="2:4">
      <c r="B1965" s="145" t="s">
        <v>1022</v>
      </c>
      <c r="C1965" s="1">
        <v>540000000</v>
      </c>
      <c r="D1965" s="1" t="s">
        <v>735</v>
      </c>
    </row>
    <row r="1966" spans="2:4">
      <c r="B1966" s="145" t="s">
        <v>15</v>
      </c>
      <c r="C1966" s="139">
        <v>0.2</v>
      </c>
      <c r="D1966" s="139">
        <v>0.2</v>
      </c>
    </row>
    <row r="1967" spans="2:4">
      <c r="B1967" s="145" t="s">
        <v>15</v>
      </c>
      <c r="C1967" s="139">
        <v>0.3</v>
      </c>
      <c r="D1967" s="139">
        <v>0.3</v>
      </c>
    </row>
    <row r="1968" spans="2:4">
      <c r="B1968" s="145" t="s">
        <v>15</v>
      </c>
      <c r="C1968" s="139">
        <v>0.5</v>
      </c>
      <c r="D1968" s="139">
        <v>0.5</v>
      </c>
    </row>
    <row r="1969" spans="2:4">
      <c r="B1969" s="2" t="s">
        <v>1027</v>
      </c>
      <c r="C1969" s="1" t="s">
        <v>1015</v>
      </c>
      <c r="D1969" s="1" t="s">
        <v>1021</v>
      </c>
    </row>
    <row r="1970" spans="2:4">
      <c r="B1970" s="145" t="s">
        <v>1022</v>
      </c>
      <c r="C1970" s="1">
        <v>110000000</v>
      </c>
      <c r="D1970" s="1" t="s">
        <v>735</v>
      </c>
    </row>
    <row r="1971" spans="2:4">
      <c r="B1971" s="145" t="s">
        <v>177</v>
      </c>
      <c r="C1971" s="105">
        <v>2013</v>
      </c>
      <c r="D1971" s="1" t="s">
        <v>1029</v>
      </c>
    </row>
    <row r="1972" spans="2:4">
      <c r="B1972" s="145" t="s">
        <v>83</v>
      </c>
      <c r="C1972" s="105">
        <v>2018</v>
      </c>
      <c r="D1972" s="1" t="s">
        <v>1029</v>
      </c>
    </row>
    <row r="1973" spans="2:4">
      <c r="B1973" s="145" t="s">
        <v>265</v>
      </c>
      <c r="C1973" s="105">
        <v>15</v>
      </c>
      <c r="D1973" s="1" t="s">
        <v>1028</v>
      </c>
    </row>
    <row r="1974" spans="2:4">
      <c r="B1974" s="145" t="s">
        <v>1030</v>
      </c>
      <c r="C1974" s="105">
        <v>11</v>
      </c>
      <c r="D1974" s="1" t="s">
        <v>1028</v>
      </c>
    </row>
    <row r="1975" spans="2:4">
      <c r="B1975" s="145" t="s">
        <v>1031</v>
      </c>
      <c r="C1975" s="105">
        <v>12.4</v>
      </c>
    </row>
    <row r="1976" spans="2:4">
      <c r="B1976" s="145" t="s">
        <v>1032</v>
      </c>
      <c r="C1976" s="105">
        <v>15.6</v>
      </c>
    </row>
    <row r="1977" spans="2:4">
      <c r="B1977" s="2" t="s">
        <v>1033</v>
      </c>
      <c r="C1977" s="2">
        <v>600000000</v>
      </c>
      <c r="D1977" s="1" t="s">
        <v>735</v>
      </c>
    </row>
    <row r="1979" spans="2:4">
      <c r="B1979" s="1" t="s">
        <v>1034</v>
      </c>
    </row>
    <row r="1980" spans="2:4">
      <c r="B1980" s="2" t="s">
        <v>1035</v>
      </c>
      <c r="C1980" s="2">
        <f>C1953+C1955+C1957</f>
        <v>280000000</v>
      </c>
    </row>
    <row r="1981" spans="2:4">
      <c r="B1981" s="2"/>
    </row>
    <row r="1982" spans="2:4">
      <c r="B1982" s="1" t="s">
        <v>1036</v>
      </c>
    </row>
    <row r="1983" spans="2:4">
      <c r="B1983" s="145" t="s">
        <v>82</v>
      </c>
      <c r="C1983" s="146">
        <f>C1961/C1960</f>
        <v>0.46666666666666667</v>
      </c>
      <c r="D1983" s="35" t="s">
        <v>1047</v>
      </c>
    </row>
    <row r="1984" spans="2:4">
      <c r="B1984" s="145" t="s">
        <v>13</v>
      </c>
      <c r="C1984" s="1">
        <f>C1959*(1-C1983)</f>
        <v>40000000</v>
      </c>
    </row>
    <row r="1985" spans="2:4">
      <c r="B1985" s="1" t="s">
        <v>1037</v>
      </c>
    </row>
    <row r="1986" spans="2:4">
      <c r="B1986" s="145" t="s">
        <v>82</v>
      </c>
      <c r="C1986" s="146">
        <f>C1966*D1966+C1967*D1967+C1968*D1968</f>
        <v>0.38</v>
      </c>
      <c r="D1986" s="35" t="s">
        <v>1050</v>
      </c>
    </row>
    <row r="1987" spans="2:4">
      <c r="B1987" s="145" t="s">
        <v>13</v>
      </c>
      <c r="C1987" s="1">
        <f>C1965*(1-C1986)</f>
        <v>334800000</v>
      </c>
    </row>
    <row r="1988" spans="2:4">
      <c r="B1988" s="1" t="s">
        <v>1038</v>
      </c>
    </row>
    <row r="1989" spans="2:4">
      <c r="B1989" s="145" t="s">
        <v>205</v>
      </c>
      <c r="C1989" s="105">
        <f>C1973-C1974</f>
        <v>4</v>
      </c>
      <c r="D1989" s="35" t="s">
        <v>1046</v>
      </c>
    </row>
    <row r="1990" spans="2:4">
      <c r="B1990" s="145" t="s">
        <v>82</v>
      </c>
      <c r="C1990" s="146">
        <f>C1989/C1973</f>
        <v>0.26666666666666666</v>
      </c>
      <c r="D1990" s="35" t="s">
        <v>1047</v>
      </c>
    </row>
    <row r="1991" spans="2:4">
      <c r="B1991" s="145" t="s">
        <v>826</v>
      </c>
      <c r="C1991" s="1">
        <f>C1975/C1976</f>
        <v>0.79487179487179493</v>
      </c>
      <c r="D1991" s="35" t="s">
        <v>1039</v>
      </c>
    </row>
    <row r="1992" spans="2:4">
      <c r="B1992" s="145" t="s">
        <v>562</v>
      </c>
      <c r="C1992" s="1">
        <f>C1970*C1991</f>
        <v>87435897.43589744</v>
      </c>
      <c r="D1992" s="35" t="s">
        <v>1048</v>
      </c>
    </row>
    <row r="1993" spans="2:4">
      <c r="B1993" s="145" t="s">
        <v>13</v>
      </c>
      <c r="C1993" s="1">
        <f>C1992*(1-C1990)</f>
        <v>64119658.119658127</v>
      </c>
    </row>
    <row r="1994" spans="2:4">
      <c r="B1994" s="2" t="s">
        <v>1040</v>
      </c>
      <c r="C1994" s="2">
        <f>C1984+C1987+C1993</f>
        <v>438919658.11965811</v>
      </c>
      <c r="D1994" s="35" t="s">
        <v>1049</v>
      </c>
    </row>
    <row r="1996" spans="2:4">
      <c r="B1996" s="2" t="s">
        <v>1041</v>
      </c>
      <c r="C1996" s="2">
        <f>C1977-C1980</f>
        <v>320000000</v>
      </c>
      <c r="D1996" s="35" t="s">
        <v>1042</v>
      </c>
    </row>
    <row r="1997" spans="2:4">
      <c r="D1997" s="136"/>
    </row>
    <row r="1998" spans="2:4">
      <c r="B1998" s="2" t="s">
        <v>17</v>
      </c>
      <c r="C1998" s="148">
        <f>1-C1996/C1994</f>
        <v>0.27093718843469594</v>
      </c>
      <c r="D1998" s="136"/>
    </row>
    <row r="1999" spans="2:4">
      <c r="D1999" s="136"/>
    </row>
    <row r="2001" spans="2:9" ht="19.5" thickBot="1"/>
    <row r="2002" spans="2:9" ht="67.900000000000006" customHeight="1" thickBot="1">
      <c r="B2002" s="226" t="s">
        <v>1062</v>
      </c>
      <c r="C2002" s="227"/>
      <c r="D2002" s="227"/>
      <c r="E2002" s="227"/>
      <c r="F2002" s="227"/>
      <c r="G2002" s="227"/>
      <c r="H2002" s="227"/>
      <c r="I2002" s="228"/>
    </row>
    <row r="2005" spans="2:9">
      <c r="B2005" s="3" t="s">
        <v>10</v>
      </c>
      <c r="C2005" s="3">
        <v>30000000</v>
      </c>
    </row>
    <row r="2006" spans="2:9">
      <c r="B2006" s="3" t="s">
        <v>1063</v>
      </c>
      <c r="C2006" s="107">
        <v>10</v>
      </c>
      <c r="D2006" s="35"/>
    </row>
    <row r="2007" spans="2:9">
      <c r="B2007" s="3" t="s">
        <v>1064</v>
      </c>
      <c r="C2007" s="107">
        <v>30</v>
      </c>
      <c r="D2007" s="35" t="s">
        <v>76</v>
      </c>
    </row>
    <row r="2008" spans="2:9">
      <c r="B2008" s="6" t="s">
        <v>559</v>
      </c>
      <c r="C2008" s="3"/>
    </row>
    <row r="2009" spans="2:9">
      <c r="B2009" s="3" t="s">
        <v>129</v>
      </c>
      <c r="C2009" s="15">
        <f>C2005*EXP(-0.04*C2006)</f>
        <v>20109601.38106918</v>
      </c>
      <c r="D2009" s="35"/>
    </row>
    <row r="2012" spans="2:9" ht="19.5" thickBot="1"/>
    <row r="2013" spans="2:9" ht="59.25" customHeight="1" thickBot="1">
      <c r="B2013" s="226" t="s">
        <v>1065</v>
      </c>
      <c r="C2013" s="227"/>
      <c r="D2013" s="227"/>
      <c r="E2013" s="227"/>
      <c r="F2013" s="227"/>
      <c r="G2013" s="227"/>
      <c r="H2013" s="227"/>
      <c r="I2013" s="228"/>
    </row>
    <row r="2016" spans="2:9">
      <c r="B2016" s="3" t="s">
        <v>14</v>
      </c>
      <c r="C2016" s="3">
        <v>140000</v>
      </c>
    </row>
    <row r="2017" spans="2:9">
      <c r="B2017" s="3" t="s">
        <v>205</v>
      </c>
      <c r="C2017" s="107">
        <v>8</v>
      </c>
      <c r="D2017" s="35"/>
    </row>
    <row r="2018" spans="2:9">
      <c r="B2018" s="3" t="s">
        <v>316</v>
      </c>
      <c r="C2018" s="107">
        <v>12</v>
      </c>
      <c r="D2018" s="35"/>
    </row>
    <row r="2019" spans="2:9">
      <c r="B2019" s="6" t="s">
        <v>559</v>
      </c>
      <c r="C2019" s="3"/>
    </row>
    <row r="2020" spans="2:9">
      <c r="B2020" s="3" t="s">
        <v>82</v>
      </c>
      <c r="C2020" s="112">
        <f>C2017/C2018</f>
        <v>0.66666666666666663</v>
      </c>
    </row>
    <row r="2021" spans="2:9">
      <c r="B2021" s="3" t="s">
        <v>23</v>
      </c>
      <c r="C2021" s="15">
        <f>C2016*(1-C2020)</f>
        <v>46666.666666666672</v>
      </c>
      <c r="D2021" s="35"/>
    </row>
    <row r="2024" spans="2:9" ht="19.5" thickBot="1"/>
    <row r="2025" spans="2:9" ht="59.25" customHeight="1" thickBot="1">
      <c r="B2025" s="226" t="s">
        <v>1066</v>
      </c>
      <c r="C2025" s="227"/>
      <c r="D2025" s="227"/>
      <c r="E2025" s="227"/>
      <c r="F2025" s="227"/>
      <c r="G2025" s="227"/>
      <c r="H2025" s="227"/>
      <c r="I2025" s="228"/>
    </row>
    <row r="2028" spans="2:9">
      <c r="B2028" s="3" t="s">
        <v>14</v>
      </c>
      <c r="C2028" s="3">
        <v>5000000</v>
      </c>
    </row>
    <row r="2029" spans="2:9">
      <c r="B2029" s="3" t="s">
        <v>15</v>
      </c>
      <c r="C2029" s="112">
        <v>0.2</v>
      </c>
      <c r="D2029" s="35"/>
    </row>
    <row r="2030" spans="2:9">
      <c r="B2030" s="3" t="s">
        <v>16</v>
      </c>
      <c r="C2030" s="112">
        <v>0.1</v>
      </c>
      <c r="D2030" s="35"/>
    </row>
    <row r="2031" spans="2:9">
      <c r="B2031" s="3" t="s">
        <v>17</v>
      </c>
      <c r="C2031" s="112">
        <v>0.3</v>
      </c>
      <c r="D2031" s="35"/>
    </row>
    <row r="2032" spans="2:9">
      <c r="B2032" s="6" t="s">
        <v>559</v>
      </c>
      <c r="C2032" s="3"/>
    </row>
    <row r="2033" spans="2:9">
      <c r="B2033" s="3" t="s">
        <v>704</v>
      </c>
      <c r="C2033" s="15">
        <f>C2028*(1-C2029)*(1-C2030)*(1-C2031)</f>
        <v>2520000</v>
      </c>
      <c r="D2033" s="35"/>
    </row>
    <row r="2036" spans="2:9" ht="19.5" thickBot="1"/>
    <row r="2037" spans="2:9" ht="61.15" customHeight="1" thickBot="1">
      <c r="B2037" s="226" t="s">
        <v>1067</v>
      </c>
      <c r="C2037" s="227"/>
      <c r="D2037" s="227"/>
      <c r="E2037" s="227"/>
      <c r="F2037" s="227"/>
      <c r="G2037" s="227"/>
      <c r="H2037" s="227"/>
      <c r="I2037" s="228"/>
    </row>
    <row r="2040" spans="2:9">
      <c r="B2040" s="3" t="s">
        <v>1068</v>
      </c>
      <c r="C2040" s="3">
        <v>1000000000</v>
      </c>
    </row>
    <row r="2041" spans="2:9">
      <c r="B2041" s="3" t="s">
        <v>1069</v>
      </c>
      <c r="C2041" s="3">
        <v>350000000</v>
      </c>
    </row>
    <row r="2042" spans="2:9">
      <c r="B2042" s="3" t="s">
        <v>1070</v>
      </c>
      <c r="C2042" s="3">
        <v>250000000</v>
      </c>
    </row>
    <row r="2043" spans="2:9">
      <c r="B2043" s="3" t="s">
        <v>1071</v>
      </c>
      <c r="C2043" s="3">
        <v>350000000</v>
      </c>
    </row>
    <row r="2044" spans="2:9">
      <c r="B2044" s="3" t="s">
        <v>98</v>
      </c>
      <c r="C2044" s="112">
        <v>0.3</v>
      </c>
    </row>
    <row r="2045" spans="2:9">
      <c r="B2045" s="3" t="s">
        <v>152</v>
      </c>
      <c r="C2045" s="112">
        <v>0.5</v>
      </c>
      <c r="D2045" s="35" t="s">
        <v>1073</v>
      </c>
    </row>
    <row r="2046" spans="2:9">
      <c r="B2046" s="6" t="s">
        <v>559</v>
      </c>
      <c r="C2046" s="3"/>
    </row>
    <row r="2047" spans="2:9">
      <c r="B2047" s="3" t="s">
        <v>766</v>
      </c>
      <c r="C2047" s="3">
        <f>C2040-C2041</f>
        <v>650000000</v>
      </c>
    </row>
    <row r="2048" spans="2:9">
      <c r="B2048" s="3" t="s">
        <v>327</v>
      </c>
      <c r="C2048" s="3">
        <f>C2042*C2044</f>
        <v>75000000</v>
      </c>
    </row>
    <row r="2049" spans="2:9">
      <c r="B2049" s="3" t="s">
        <v>328</v>
      </c>
      <c r="C2049" s="3">
        <f>C2043*C2044</f>
        <v>105000000</v>
      </c>
    </row>
    <row r="2050" spans="2:9">
      <c r="B2050" s="3" t="s">
        <v>1072</v>
      </c>
      <c r="C2050" s="3">
        <f>C2042+C2043+C2048+C2049</f>
        <v>780000000</v>
      </c>
    </row>
    <row r="2051" spans="2:9">
      <c r="B2051" s="3" t="s">
        <v>47</v>
      </c>
      <c r="C2051" s="114">
        <f>1-C2047/C2050</f>
        <v>0.16666666666666663</v>
      </c>
    </row>
    <row r="2052" spans="2:9">
      <c r="B2052" s="3" t="s">
        <v>1074</v>
      </c>
      <c r="C2052" s="3">
        <f>C2042+C2048</f>
        <v>325000000</v>
      </c>
    </row>
    <row r="2053" spans="2:9">
      <c r="B2053" s="3" t="s">
        <v>1076</v>
      </c>
      <c r="C2053" s="15">
        <f>C2052*(1-C2051)</f>
        <v>270833333.33333337</v>
      </c>
      <c r="D2053" s="35" t="s">
        <v>1054</v>
      </c>
    </row>
    <row r="2054" spans="2:9">
      <c r="B2054" s="145" t="s">
        <v>1075</v>
      </c>
      <c r="C2054" s="1">
        <f>C2052*C2047/C2050</f>
        <v>270833333.33333331</v>
      </c>
    </row>
    <row r="2057" spans="2:9" ht="19.5" thickBot="1"/>
    <row r="2058" spans="2:9" ht="409.5" customHeight="1" thickBot="1">
      <c r="B2058" s="226" t="s">
        <v>1428</v>
      </c>
      <c r="C2058" s="227"/>
      <c r="D2058" s="227"/>
      <c r="E2058" s="227"/>
      <c r="F2058" s="227"/>
      <c r="G2058" s="227"/>
      <c r="H2058" s="227"/>
      <c r="I2058" s="228"/>
    </row>
    <row r="2060" spans="2:9">
      <c r="B2060" s="2" t="s">
        <v>1014</v>
      </c>
      <c r="C2060" s="1" t="s">
        <v>1015</v>
      </c>
      <c r="D2060" s="1" t="s">
        <v>1016</v>
      </c>
    </row>
    <row r="2061" spans="2:9">
      <c r="B2061" s="145" t="s">
        <v>1079</v>
      </c>
      <c r="C2061" s="1">
        <v>2000</v>
      </c>
    </row>
    <row r="2062" spans="2:9">
      <c r="B2062" s="145" t="s">
        <v>1080</v>
      </c>
      <c r="C2062" s="1">
        <v>4600</v>
      </c>
      <c r="D2062" s="1" t="s">
        <v>1081</v>
      </c>
    </row>
    <row r="2063" spans="2:9">
      <c r="B2063" s="145" t="s">
        <v>759</v>
      </c>
      <c r="C2063" s="139">
        <v>0.09</v>
      </c>
    </row>
    <row r="2064" spans="2:9">
      <c r="B2064" s="145" t="s">
        <v>1082</v>
      </c>
      <c r="C2064" s="139">
        <v>0.15</v>
      </c>
      <c r="D2064" s="1" t="s">
        <v>1083</v>
      </c>
    </row>
    <row r="2065" spans="2:4">
      <c r="B2065" s="145" t="s">
        <v>800</v>
      </c>
      <c r="C2065" s="139">
        <v>0.06</v>
      </c>
    </row>
    <row r="2066" spans="2:4">
      <c r="B2066" s="145" t="s">
        <v>88</v>
      </c>
      <c r="C2066" s="139">
        <v>0.11</v>
      </c>
      <c r="D2066" s="1" t="s">
        <v>1084</v>
      </c>
    </row>
    <row r="2067" spans="2:4">
      <c r="B2067" s="145" t="s">
        <v>1085</v>
      </c>
      <c r="C2067" s="105">
        <v>50</v>
      </c>
      <c r="D2067" s="1" t="s">
        <v>1028</v>
      </c>
    </row>
    <row r="2068" spans="2:4">
      <c r="B2068" s="145" t="s">
        <v>1086</v>
      </c>
      <c r="C2068" s="1">
        <v>2300000</v>
      </c>
    </row>
    <row r="2069" spans="2:4">
      <c r="B2069" s="145"/>
    </row>
    <row r="2070" spans="2:4">
      <c r="B2070" s="2" t="s">
        <v>1017</v>
      </c>
      <c r="C2070" s="1" t="s">
        <v>1015</v>
      </c>
      <c r="D2070" s="1" t="s">
        <v>1016</v>
      </c>
    </row>
    <row r="2071" spans="2:4">
      <c r="B2071" s="145" t="s">
        <v>23</v>
      </c>
      <c r="C2071" s="1">
        <v>180000000</v>
      </c>
      <c r="D2071" s="1" t="s">
        <v>735</v>
      </c>
    </row>
    <row r="2072" spans="2:4">
      <c r="B2072" s="2" t="s">
        <v>1018</v>
      </c>
      <c r="C2072" s="1" t="s">
        <v>1015</v>
      </c>
      <c r="D2072" s="1" t="s">
        <v>1016</v>
      </c>
    </row>
    <row r="2073" spans="2:4">
      <c r="B2073" s="145" t="s">
        <v>23</v>
      </c>
      <c r="C2073" s="1">
        <v>35000000</v>
      </c>
      <c r="D2073" s="1" t="s">
        <v>735</v>
      </c>
    </row>
    <row r="2074" spans="2:4">
      <c r="B2074" s="2" t="s">
        <v>1020</v>
      </c>
      <c r="C2074" s="1" t="s">
        <v>1015</v>
      </c>
      <c r="D2074" s="1" t="s">
        <v>1021</v>
      </c>
    </row>
    <row r="2075" spans="2:4">
      <c r="B2075" s="145" t="s">
        <v>1022</v>
      </c>
      <c r="C2075" s="1">
        <v>75000000</v>
      </c>
      <c r="D2075" s="1" t="s">
        <v>735</v>
      </c>
    </row>
    <row r="2076" spans="2:4">
      <c r="B2076" s="145" t="s">
        <v>1023</v>
      </c>
      <c r="C2076" s="1">
        <v>15</v>
      </c>
    </row>
    <row r="2077" spans="2:4">
      <c r="B2077" s="145" t="s">
        <v>205</v>
      </c>
      <c r="C2077" s="1">
        <v>7</v>
      </c>
    </row>
    <row r="2078" spans="2:4">
      <c r="B2078" s="2" t="s">
        <v>1024</v>
      </c>
      <c r="C2078" s="1" t="s">
        <v>1025</v>
      </c>
    </row>
    <row r="2079" spans="2:4">
      <c r="B2079" s="145" t="s">
        <v>23</v>
      </c>
      <c r="C2079" s="1">
        <v>185000000</v>
      </c>
      <c r="D2079" s="1" t="s">
        <v>734</v>
      </c>
    </row>
    <row r="2080" spans="2:4">
      <c r="B2080" s="2" t="s">
        <v>1026</v>
      </c>
      <c r="C2080" s="1" t="s">
        <v>1015</v>
      </c>
      <c r="D2080" s="1" t="s">
        <v>1021</v>
      </c>
    </row>
    <row r="2081" spans="2:4">
      <c r="B2081" s="145" t="s">
        <v>1022</v>
      </c>
      <c r="C2081" s="1">
        <v>540000000</v>
      </c>
      <c r="D2081" s="1" t="s">
        <v>735</v>
      </c>
    </row>
    <row r="2082" spans="2:4">
      <c r="B2082" s="145" t="s">
        <v>15</v>
      </c>
      <c r="C2082" s="139">
        <v>0.2</v>
      </c>
      <c r="D2082" s="139">
        <v>0.2</v>
      </c>
    </row>
    <row r="2083" spans="2:4">
      <c r="B2083" s="145" t="s">
        <v>15</v>
      </c>
      <c r="C2083" s="139">
        <v>0.3</v>
      </c>
      <c r="D2083" s="139">
        <v>0.3</v>
      </c>
    </row>
    <row r="2084" spans="2:4">
      <c r="B2084" s="145" t="s">
        <v>15</v>
      </c>
      <c r="C2084" s="139">
        <v>0.5</v>
      </c>
      <c r="D2084" s="139">
        <v>0.5</v>
      </c>
    </row>
    <row r="2085" spans="2:4">
      <c r="B2085" s="2" t="s">
        <v>1027</v>
      </c>
      <c r="C2085" s="1" t="s">
        <v>1015</v>
      </c>
      <c r="D2085" s="1" t="s">
        <v>1021</v>
      </c>
    </row>
    <row r="2086" spans="2:4">
      <c r="B2086" s="145" t="s">
        <v>1022</v>
      </c>
      <c r="C2086" s="1">
        <v>110000000</v>
      </c>
      <c r="D2086" s="1" t="s">
        <v>735</v>
      </c>
    </row>
    <row r="2087" spans="2:4">
      <c r="B2087" s="145" t="s">
        <v>177</v>
      </c>
      <c r="C2087" s="105">
        <v>2013</v>
      </c>
      <c r="D2087" s="1" t="s">
        <v>1029</v>
      </c>
    </row>
    <row r="2088" spans="2:4">
      <c r="B2088" s="145" t="s">
        <v>83</v>
      </c>
      <c r="C2088" s="105">
        <v>2018</v>
      </c>
      <c r="D2088" s="1" t="s">
        <v>1029</v>
      </c>
    </row>
    <row r="2089" spans="2:4">
      <c r="B2089" s="145" t="s">
        <v>265</v>
      </c>
      <c r="C2089" s="105">
        <v>15</v>
      </c>
      <c r="D2089" s="1" t="s">
        <v>1028</v>
      </c>
    </row>
    <row r="2090" spans="2:4">
      <c r="B2090" s="145" t="s">
        <v>1030</v>
      </c>
      <c r="C2090" s="105">
        <v>11</v>
      </c>
      <c r="D2090" s="1" t="s">
        <v>1028</v>
      </c>
    </row>
    <row r="2091" spans="2:4">
      <c r="B2091" s="145" t="s">
        <v>1031</v>
      </c>
      <c r="C2091" s="105">
        <v>12.4</v>
      </c>
    </row>
    <row r="2092" spans="2:4">
      <c r="B2092" s="145" t="s">
        <v>1032</v>
      </c>
      <c r="C2092" s="105">
        <v>15.6</v>
      </c>
    </row>
    <row r="2093" spans="2:4">
      <c r="B2093" s="145" t="s">
        <v>1087</v>
      </c>
      <c r="C2093" s="139">
        <v>0.1</v>
      </c>
    </row>
    <row r="2094" spans="2:4">
      <c r="B2094" s="2" t="s">
        <v>1033</v>
      </c>
      <c r="C2094" s="2">
        <v>600000000</v>
      </c>
      <c r="D2094" s="1" t="s">
        <v>735</v>
      </c>
    </row>
    <row r="2096" spans="2:4">
      <c r="B2096" s="1" t="s">
        <v>1034</v>
      </c>
    </row>
    <row r="2097" spans="2:4">
      <c r="B2097" s="2" t="s">
        <v>1078</v>
      </c>
    </row>
    <row r="2098" spans="2:4">
      <c r="B2098" s="145" t="s">
        <v>757</v>
      </c>
      <c r="C2098" s="1">
        <f>C2061*C2062*(1-C2063)</f>
        <v>8372000</v>
      </c>
    </row>
    <row r="2099" spans="2:4">
      <c r="B2099" s="145" t="s">
        <v>760</v>
      </c>
      <c r="C2099" s="1">
        <f>C2098*C2064</f>
        <v>1255800</v>
      </c>
    </row>
    <row r="2100" spans="2:4">
      <c r="B2100" s="145" t="s">
        <v>758</v>
      </c>
      <c r="C2100" s="1">
        <f>C2098-C2099</f>
        <v>7116200</v>
      </c>
    </row>
    <row r="2101" spans="2:4">
      <c r="B2101" s="145" t="s">
        <v>756</v>
      </c>
      <c r="C2101" s="146">
        <f>PMT(C2065,C2067,,-1)</f>
        <v>3.444286373866201E-3</v>
      </c>
    </row>
    <row r="2102" spans="2:4">
      <c r="B2102" s="145" t="s">
        <v>1088</v>
      </c>
      <c r="C2102" s="146">
        <f>C2066+C2101</f>
        <v>0.11344428637386621</v>
      </c>
    </row>
    <row r="2103" spans="2:4">
      <c r="B2103" s="145" t="s">
        <v>1089</v>
      </c>
      <c r="C2103" s="1">
        <f>C2100/C2102</f>
        <v>62728588.8735542</v>
      </c>
      <c r="D2103" s="35" t="s">
        <v>1090</v>
      </c>
    </row>
    <row r="2104" spans="2:4">
      <c r="B2104" s="145" t="s">
        <v>1091</v>
      </c>
      <c r="C2104" s="1">
        <f>C2103+C2068</f>
        <v>65028588.8735542</v>
      </c>
      <c r="D2104" s="35" t="s">
        <v>1092</v>
      </c>
    </row>
    <row r="2105" spans="2:4">
      <c r="B2105" s="2" t="s">
        <v>1035</v>
      </c>
      <c r="C2105" s="2">
        <f>C2071+C2073+C2104</f>
        <v>280028588.87355423</v>
      </c>
    </row>
    <row r="2106" spans="2:4">
      <c r="B2106" s="2"/>
    </row>
    <row r="2107" spans="2:4">
      <c r="B2107" s="1" t="s">
        <v>1036</v>
      </c>
    </row>
    <row r="2108" spans="2:4">
      <c r="B2108" s="145" t="s">
        <v>82</v>
      </c>
      <c r="C2108" s="146">
        <f>C2077/C2076</f>
        <v>0.46666666666666667</v>
      </c>
      <c r="D2108" s="35" t="s">
        <v>1047</v>
      </c>
    </row>
    <row r="2109" spans="2:4">
      <c r="B2109" s="145" t="s">
        <v>13</v>
      </c>
      <c r="C2109" s="1">
        <f>C2075*(1-C2108)</f>
        <v>40000000</v>
      </c>
    </row>
    <row r="2110" spans="2:4">
      <c r="B2110" s="1" t="s">
        <v>1037</v>
      </c>
    </row>
    <row r="2111" spans="2:4">
      <c r="B2111" s="145" t="s">
        <v>82</v>
      </c>
      <c r="C2111" s="146">
        <f>C2082*D2082+C2083*D2083+C2084*D2084</f>
        <v>0.38</v>
      </c>
      <c r="D2111" s="35" t="s">
        <v>1050</v>
      </c>
    </row>
    <row r="2112" spans="2:4">
      <c r="B2112" s="145" t="s">
        <v>13</v>
      </c>
      <c r="C2112" s="1">
        <f>C2081*(1-C2111)</f>
        <v>334800000</v>
      </c>
    </row>
    <row r="2113" spans="2:4">
      <c r="B2113" s="1" t="s">
        <v>1038</v>
      </c>
    </row>
    <row r="2114" spans="2:4">
      <c r="B2114" s="145" t="s">
        <v>205</v>
      </c>
      <c r="C2114" s="105">
        <f>C2089-C2090</f>
        <v>4</v>
      </c>
      <c r="D2114" s="35" t="s">
        <v>1046</v>
      </c>
    </row>
    <row r="2115" spans="2:4">
      <c r="B2115" s="145" t="s">
        <v>15</v>
      </c>
      <c r="C2115" s="146">
        <f>C2114/C2089</f>
        <v>0.26666666666666666</v>
      </c>
      <c r="D2115" s="35" t="s">
        <v>1047</v>
      </c>
    </row>
    <row r="2116" spans="2:4">
      <c r="B2116" s="145" t="s">
        <v>1093</v>
      </c>
      <c r="C2116" s="1">
        <v>1</v>
      </c>
      <c r="D2116" s="35"/>
    </row>
    <row r="2117" spans="2:4">
      <c r="B2117" s="145" t="s">
        <v>481</v>
      </c>
      <c r="C2117" s="1">
        <f>C2116*(1+C2093)</f>
        <v>1.1000000000000001</v>
      </c>
      <c r="D2117" s="35" t="s">
        <v>1094</v>
      </c>
    </row>
    <row r="2118" spans="2:4">
      <c r="B2118" s="145" t="s">
        <v>16</v>
      </c>
      <c r="C2118" s="146">
        <f>1-C2116/C2117</f>
        <v>9.0909090909090939E-2</v>
      </c>
      <c r="D2118" s="35" t="s">
        <v>1096</v>
      </c>
    </row>
    <row r="2119" spans="2:4">
      <c r="B2119" s="145" t="s">
        <v>826</v>
      </c>
      <c r="C2119" s="1">
        <f>C2091/C2092</f>
        <v>0.79487179487179493</v>
      </c>
      <c r="D2119" s="35" t="s">
        <v>1039</v>
      </c>
    </row>
    <row r="2120" spans="2:4">
      <c r="B2120" s="145" t="s">
        <v>562</v>
      </c>
      <c r="C2120" s="1">
        <f>C2086*C2119</f>
        <v>87435897.43589744</v>
      </c>
      <c r="D2120" s="35" t="s">
        <v>1048</v>
      </c>
    </row>
    <row r="2121" spans="2:4">
      <c r="B2121" s="145" t="s">
        <v>13</v>
      </c>
      <c r="C2121" s="1">
        <f>C2120*(1-C2115)*(1-C2118)</f>
        <v>58290598.290598296</v>
      </c>
    </row>
    <row r="2122" spans="2:4">
      <c r="B2122" s="2" t="s">
        <v>1040</v>
      </c>
      <c r="C2122" s="2">
        <f>C2109+C2112+C2121</f>
        <v>433090598.29059827</v>
      </c>
      <c r="D2122" s="35" t="s">
        <v>1049</v>
      </c>
    </row>
    <row r="2124" spans="2:4">
      <c r="B2124" s="2" t="s">
        <v>1041</v>
      </c>
      <c r="C2124" s="2">
        <f>C2094-C2105</f>
        <v>319971411.12644577</v>
      </c>
      <c r="D2124" s="35" t="s">
        <v>1042</v>
      </c>
    </row>
    <row r="2125" spans="2:4">
      <c r="D2125" s="136"/>
    </row>
    <row r="2126" spans="2:4">
      <c r="B2126" s="2" t="s">
        <v>47</v>
      </c>
      <c r="C2126" s="147">
        <f>1-C2124/C2122</f>
        <v>0.26119058601279299</v>
      </c>
      <c r="D2126" s="136"/>
    </row>
    <row r="2127" spans="2:4">
      <c r="D2127" s="136"/>
    </row>
    <row r="2128" spans="2:4">
      <c r="B2128" s="2" t="s">
        <v>1043</v>
      </c>
      <c r="C2128" s="11">
        <f>C2121*(1-C2126)</f>
        <v>43065642.764040619</v>
      </c>
      <c r="D2128" s="35" t="s">
        <v>1044</v>
      </c>
    </row>
    <row r="2129" spans="2:9">
      <c r="B2129" s="145" t="s">
        <v>507</v>
      </c>
      <c r="D2129" s="136"/>
    </row>
    <row r="2130" spans="2:9">
      <c r="B2130" s="2" t="s">
        <v>1043</v>
      </c>
      <c r="C2130" s="11">
        <f>C2086*C2119*(1-C2115)*(1-C2118)*(1-C2126)</f>
        <v>43065642.764040619</v>
      </c>
      <c r="D2130" s="35" t="s">
        <v>1095</v>
      </c>
    </row>
    <row r="2133" spans="2:9" ht="19.5" thickBot="1"/>
    <row r="2134" spans="2:9" ht="46.9" customHeight="1" thickBot="1">
      <c r="B2134" s="226" t="s">
        <v>1097</v>
      </c>
      <c r="C2134" s="227"/>
      <c r="D2134" s="227"/>
      <c r="E2134" s="227"/>
      <c r="F2134" s="227"/>
      <c r="G2134" s="227"/>
      <c r="H2134" s="227"/>
      <c r="I2134" s="228"/>
    </row>
    <row r="2137" spans="2:9">
      <c r="B2137" s="3" t="s">
        <v>556</v>
      </c>
      <c r="C2137" s="3">
        <v>0.85</v>
      </c>
    </row>
    <row r="2138" spans="2:9">
      <c r="B2138" s="3" t="s">
        <v>557</v>
      </c>
      <c r="C2138" s="9">
        <v>1.1000000000000001</v>
      </c>
      <c r="D2138" s="24" t="s">
        <v>575</v>
      </c>
    </row>
    <row r="2139" spans="2:9">
      <c r="B2139" s="3" t="s">
        <v>558</v>
      </c>
      <c r="C2139" s="3">
        <v>1.4</v>
      </c>
    </row>
    <row r="2140" spans="2:9">
      <c r="B2140" s="3" t="s">
        <v>566</v>
      </c>
      <c r="C2140" s="36">
        <v>40179</v>
      </c>
    </row>
    <row r="2141" spans="2:9">
      <c r="B2141" s="3" t="s">
        <v>567</v>
      </c>
      <c r="C2141" s="36">
        <v>43101</v>
      </c>
    </row>
    <row r="2142" spans="2:9">
      <c r="B2142" s="6" t="s">
        <v>559</v>
      </c>
      <c r="C2142" s="3"/>
    </row>
    <row r="2143" spans="2:9">
      <c r="B2143" s="3" t="s">
        <v>560</v>
      </c>
      <c r="C2143" s="30">
        <f>C2137*(1+C2138)/C2139</f>
        <v>1.2750000000000001</v>
      </c>
    </row>
    <row r="2144" spans="2:9">
      <c r="B2144" s="3" t="s">
        <v>576</v>
      </c>
      <c r="C2144" s="30">
        <f>1/C2143</f>
        <v>0.78431372549019596</v>
      </c>
      <c r="D2144" s="35" t="s">
        <v>1009</v>
      </c>
    </row>
    <row r="2145" spans="2:9">
      <c r="B2145" s="3" t="s">
        <v>568</v>
      </c>
      <c r="C2145" s="75">
        <f>DATEDIF(C2140,C2141,"m")</f>
        <v>96</v>
      </c>
      <c r="D2145" s="35" t="s">
        <v>572</v>
      </c>
    </row>
    <row r="2146" spans="2:9">
      <c r="B2146" s="3" t="s">
        <v>569</v>
      </c>
      <c r="C2146" s="144">
        <f>C2144^(1/C2145)</f>
        <v>0.99747251013424998</v>
      </c>
      <c r="D2146" s="35" t="s">
        <v>1098</v>
      </c>
    </row>
    <row r="2149" spans="2:9" ht="19.5" thickBot="1"/>
    <row r="2150" spans="2:9" ht="130.9" customHeight="1" thickBot="1">
      <c r="B2150" s="226" t="s">
        <v>1099</v>
      </c>
      <c r="C2150" s="227"/>
      <c r="D2150" s="227"/>
      <c r="E2150" s="227"/>
      <c r="F2150" s="227"/>
      <c r="G2150" s="227"/>
      <c r="H2150" s="227"/>
      <c r="I2150" s="228"/>
    </row>
    <row r="2153" spans="2:9">
      <c r="B2153" s="3" t="s">
        <v>1100</v>
      </c>
      <c r="C2153" s="3">
        <v>5000</v>
      </c>
    </row>
    <row r="2154" spans="2:9">
      <c r="B2154" s="3" t="s">
        <v>1101</v>
      </c>
      <c r="C2154" s="3">
        <v>8000</v>
      </c>
    </row>
    <row r="2155" spans="2:9">
      <c r="B2155" s="3" t="s">
        <v>393</v>
      </c>
      <c r="C2155" s="38">
        <v>0.35599999999999998</v>
      </c>
    </row>
    <row r="2156" spans="2:9">
      <c r="B2156" s="3" t="s">
        <v>38</v>
      </c>
      <c r="C2156" s="3">
        <v>17</v>
      </c>
    </row>
    <row r="2157" spans="2:9">
      <c r="B2157" s="3" t="s">
        <v>34</v>
      </c>
      <c r="C2157" s="3">
        <v>20</v>
      </c>
    </row>
    <row r="2158" spans="2:9">
      <c r="B2158" s="3" t="s">
        <v>133</v>
      </c>
      <c r="C2158" s="3">
        <v>5</v>
      </c>
    </row>
    <row r="2159" spans="2:9">
      <c r="B2159" s="3" t="s">
        <v>394</v>
      </c>
      <c r="C2159" s="7">
        <v>0.317</v>
      </c>
    </row>
    <row r="2160" spans="2:9">
      <c r="B2160" s="6" t="s">
        <v>7</v>
      </c>
      <c r="C2160" s="3"/>
    </row>
    <row r="2161" spans="2:9">
      <c r="B2161" s="3" t="s">
        <v>398</v>
      </c>
      <c r="C2161" s="10">
        <f>((C2153*2)-C2154)*(1+C2155)</f>
        <v>2711.9999999999995</v>
      </c>
    </row>
    <row r="2162" spans="2:9">
      <c r="B2162" s="3" t="s">
        <v>402</v>
      </c>
      <c r="C2162" s="37">
        <f>C2158*12</f>
        <v>60</v>
      </c>
    </row>
    <row r="2163" spans="2:9">
      <c r="B2163" s="3" t="s">
        <v>1102</v>
      </c>
      <c r="C2163" s="114">
        <f>C2159/12</f>
        <v>2.6416666666666668E-2</v>
      </c>
    </row>
    <row r="2164" spans="2:9">
      <c r="B2164" s="3" t="s">
        <v>399</v>
      </c>
      <c r="C2164" s="15">
        <f>PV(C2163,C2162,-C2161)</f>
        <v>81184.653025860171</v>
      </c>
      <c r="D2164" s="35" t="s">
        <v>1103</v>
      </c>
    </row>
    <row r="2167" spans="2:9" ht="19.5" thickBot="1"/>
    <row r="2168" spans="2:9" ht="39.6" customHeight="1" thickBot="1">
      <c r="B2168" s="226" t="s">
        <v>1104</v>
      </c>
      <c r="C2168" s="227"/>
      <c r="D2168" s="227"/>
      <c r="E2168" s="227"/>
      <c r="F2168" s="227"/>
      <c r="G2168" s="227"/>
      <c r="H2168" s="227"/>
      <c r="I2168" s="228"/>
    </row>
    <row r="2171" spans="2:9">
      <c r="B2171" s="3" t="s">
        <v>177</v>
      </c>
      <c r="C2171" s="107">
        <v>2013</v>
      </c>
      <c r="D2171" s="35" t="s">
        <v>76</v>
      </c>
    </row>
    <row r="2172" spans="2:9">
      <c r="B2172" s="3" t="s">
        <v>316</v>
      </c>
      <c r="C2172" s="107">
        <v>15</v>
      </c>
    </row>
    <row r="2173" spans="2:9">
      <c r="B2173" s="3" t="s">
        <v>1085</v>
      </c>
      <c r="C2173" s="107">
        <v>13</v>
      </c>
      <c r="D2173" s="35"/>
    </row>
    <row r="2174" spans="2:9">
      <c r="B2174" s="6" t="s">
        <v>559</v>
      </c>
      <c r="C2174" s="3"/>
    </row>
    <row r="2175" spans="2:9">
      <c r="B2175" s="3" t="s">
        <v>205</v>
      </c>
      <c r="C2175" s="149">
        <f>C2172-C2173</f>
        <v>2</v>
      </c>
      <c r="D2175" s="35"/>
    </row>
    <row r="2178" spans="2:9" ht="19.5" thickBot="1"/>
    <row r="2179" spans="2:9" ht="57" customHeight="1" thickBot="1">
      <c r="B2179" s="226" t="s">
        <v>1105</v>
      </c>
      <c r="C2179" s="227"/>
      <c r="D2179" s="227"/>
      <c r="E2179" s="227"/>
      <c r="F2179" s="227"/>
      <c r="G2179" s="227"/>
      <c r="H2179" s="227"/>
      <c r="I2179" s="228"/>
    </row>
    <row r="2182" spans="2:9">
      <c r="B2182" s="3"/>
      <c r="C2182" s="4" t="s">
        <v>4</v>
      </c>
      <c r="D2182" s="4" t="s">
        <v>241</v>
      </c>
      <c r="E2182" s="4" t="s">
        <v>242</v>
      </c>
      <c r="F2182" s="4" t="s">
        <v>464</v>
      </c>
      <c r="G2182" s="4" t="s">
        <v>465</v>
      </c>
    </row>
    <row r="2183" spans="2:9">
      <c r="B2183" s="3" t="s">
        <v>80</v>
      </c>
      <c r="C2183" s="10">
        <f>D2183*(C2184/D2184)^G2184</f>
        <v>224478.67549831379</v>
      </c>
      <c r="D2183" s="3">
        <v>190000</v>
      </c>
      <c r="E2183" s="3">
        <v>270000</v>
      </c>
      <c r="F2183" s="3">
        <f>LN(D2183/E2183)</f>
        <v>-0.35139788683788858</v>
      </c>
      <c r="G2183" s="3"/>
    </row>
    <row r="2184" spans="2:9">
      <c r="B2184" s="3" t="s">
        <v>463</v>
      </c>
      <c r="C2184" s="3">
        <v>170</v>
      </c>
      <c r="D2184" s="3">
        <v>120</v>
      </c>
      <c r="E2184" s="3">
        <v>250</v>
      </c>
      <c r="F2184" s="3">
        <f>LN(D2184/E2184)</f>
        <v>-0.73396917508020043</v>
      </c>
      <c r="G2184" s="3">
        <f>F2183/F2184</f>
        <v>0.47876382110936949</v>
      </c>
    </row>
    <row r="2185" spans="2:9">
      <c r="B2185" s="3" t="s">
        <v>466</v>
      </c>
      <c r="C2185" s="9">
        <v>0.3</v>
      </c>
    </row>
    <row r="2186" spans="2:9">
      <c r="B2186" s="3" t="s">
        <v>466</v>
      </c>
      <c r="C2186" s="10">
        <f>C2183*C2185</f>
        <v>67343.602649494132</v>
      </c>
    </row>
    <row r="2187" spans="2:9">
      <c r="B2187" s="3" t="s">
        <v>467</v>
      </c>
      <c r="C2187" s="3">
        <v>15000</v>
      </c>
    </row>
    <row r="2188" spans="2:9">
      <c r="B2188" s="3" t="s">
        <v>125</v>
      </c>
      <c r="C2188" s="3">
        <f>C2183+C2186+C2187</f>
        <v>306822.27814780793</v>
      </c>
      <c r="D2188" s="35" t="s">
        <v>468</v>
      </c>
    </row>
    <row r="2189" spans="2:9">
      <c r="B2189" s="3" t="s">
        <v>1106</v>
      </c>
      <c r="C2189" s="3">
        <v>7</v>
      </c>
      <c r="D2189" s="35" t="s">
        <v>76</v>
      </c>
    </row>
    <row r="2190" spans="2:9">
      <c r="B2190" s="3" t="s">
        <v>34</v>
      </c>
      <c r="C2190" s="3">
        <v>15</v>
      </c>
    </row>
    <row r="2191" spans="2:9">
      <c r="B2191" s="3" t="s">
        <v>795</v>
      </c>
      <c r="C2191" s="3">
        <v>9</v>
      </c>
    </row>
    <row r="2192" spans="2:9">
      <c r="B2192" s="3" t="s">
        <v>15</v>
      </c>
      <c r="C2192" s="7">
        <f>(C2190-C2191)/C2190</f>
        <v>0.4</v>
      </c>
      <c r="D2192" s="35" t="s">
        <v>1107</v>
      </c>
    </row>
    <row r="2193" spans="2:9">
      <c r="B2193" s="3" t="s">
        <v>16</v>
      </c>
      <c r="C2193" s="9">
        <v>0.2</v>
      </c>
    </row>
    <row r="2194" spans="2:9">
      <c r="B2194" s="3" t="s">
        <v>13</v>
      </c>
      <c r="C2194" s="15">
        <f>C2188*(1-C2192)*(1-C2193)</f>
        <v>147274.69351094781</v>
      </c>
    </row>
    <row r="2196" spans="2:9" ht="19.5" thickBot="1"/>
    <row r="2197" spans="2:9" ht="76.900000000000006" customHeight="1" thickBot="1">
      <c r="B2197" s="226" t="s">
        <v>1429</v>
      </c>
      <c r="C2197" s="227"/>
      <c r="D2197" s="227"/>
      <c r="E2197" s="227"/>
      <c r="F2197" s="227"/>
      <c r="G2197" s="227"/>
      <c r="H2197" s="227"/>
      <c r="I2197" s="228"/>
    </row>
    <row r="2199" spans="2:9">
      <c r="B2199" s="1" t="s">
        <v>1216</v>
      </c>
    </row>
    <row r="2200" spans="2:9">
      <c r="B2200" s="1" t="s">
        <v>1217</v>
      </c>
    </row>
    <row r="2201" spans="2:9">
      <c r="B2201" s="1" t="s">
        <v>1206</v>
      </c>
    </row>
    <row r="2202" spans="2:9">
      <c r="B2202" s="105" t="s">
        <v>1207</v>
      </c>
    </row>
    <row r="2203" spans="2:9">
      <c r="B2203" s="105"/>
    </row>
    <row r="2204" spans="2:9">
      <c r="B2204" s="105" t="s">
        <v>1208</v>
      </c>
    </row>
    <row r="2205" spans="2:9">
      <c r="B2205" s="105" t="s">
        <v>1209</v>
      </c>
    </row>
    <row r="2206" spans="2:9">
      <c r="B2206" s="105" t="s">
        <v>1210</v>
      </c>
    </row>
    <row r="2207" spans="2:9">
      <c r="B2207" s="105" t="s">
        <v>1251</v>
      </c>
    </row>
    <row r="2208" spans="2:9">
      <c r="B2208" s="105" t="s">
        <v>1194</v>
      </c>
    </row>
    <row r="2209" spans="2:4">
      <c r="B2209" s="105" t="s">
        <v>1211</v>
      </c>
    </row>
    <row r="2210" spans="2:4">
      <c r="B2210" s="161" t="s">
        <v>1195</v>
      </c>
    </row>
    <row r="2211" spans="2:4">
      <c r="B2211" s="105" t="s">
        <v>1212</v>
      </c>
    </row>
    <row r="2212" spans="2:4">
      <c r="B2212" s="105" t="s">
        <v>1196</v>
      </c>
    </row>
    <row r="2213" spans="2:4">
      <c r="B2213" s="105" t="s">
        <v>1197</v>
      </c>
    </row>
    <row r="2214" spans="2:4">
      <c r="B2214" s="105" t="s">
        <v>1198</v>
      </c>
    </row>
    <row r="2215" spans="2:4">
      <c r="B2215" s="105" t="s">
        <v>1199</v>
      </c>
    </row>
    <row r="2216" spans="2:4">
      <c r="B2216" s="105" t="s">
        <v>1200</v>
      </c>
    </row>
    <row r="2217" spans="2:4">
      <c r="B2217" s="161" t="s">
        <v>1201</v>
      </c>
    </row>
    <row r="2218" spans="2:4">
      <c r="B2218" s="105" t="s">
        <v>1213</v>
      </c>
    </row>
    <row r="2219" spans="2:4">
      <c r="B2219" s="105" t="s">
        <v>1202</v>
      </c>
    </row>
    <row r="2220" spans="2:4">
      <c r="B2220" s="105" t="s">
        <v>1203</v>
      </c>
    </row>
    <row r="2221" spans="2:4">
      <c r="B2221" s="161" t="s">
        <v>1204</v>
      </c>
    </row>
    <row r="2222" spans="2:4">
      <c r="B2222" s="161" t="s">
        <v>1215</v>
      </c>
    </row>
    <row r="2223" spans="2:4">
      <c r="B2223" s="105" t="s">
        <v>1214</v>
      </c>
    </row>
    <row r="2224" spans="2:4">
      <c r="B2224" s="195" t="s">
        <v>1205</v>
      </c>
      <c r="C2224" s="23"/>
      <c r="D2224" s="23"/>
    </row>
    <row r="2225" spans="2:5">
      <c r="B2225" s="105"/>
    </row>
    <row r="2226" spans="2:5">
      <c r="B2226" s="105"/>
    </row>
    <row r="2227" spans="2:5">
      <c r="B2227" s="161" t="s">
        <v>1435</v>
      </c>
    </row>
    <row r="2228" spans="2:5">
      <c r="B2228" s="107"/>
      <c r="C2228" s="3" t="s">
        <v>1436</v>
      </c>
      <c r="D2228" s="3" t="s">
        <v>1437</v>
      </c>
      <c r="E2228" s="3" t="s">
        <v>1438</v>
      </c>
    </row>
    <row r="2229" spans="2:5">
      <c r="B2229" s="107" t="s">
        <v>1439</v>
      </c>
      <c r="C2229" s="3">
        <v>30</v>
      </c>
      <c r="D2229" s="3"/>
      <c r="E2229" s="3"/>
    </row>
    <row r="2230" spans="2:5">
      <c r="B2230" s="107" t="s">
        <v>74</v>
      </c>
      <c r="C2230" s="3">
        <v>65</v>
      </c>
      <c r="D2230" s="3"/>
      <c r="E2230" s="3"/>
    </row>
    <row r="2231" spans="2:5">
      <c r="B2231" s="107" t="s">
        <v>266</v>
      </c>
      <c r="C2231" s="3">
        <v>1.1000000000000001</v>
      </c>
      <c r="D2231" s="3">
        <v>1.5</v>
      </c>
      <c r="E2231" s="3"/>
    </row>
    <row r="2232" spans="2:5">
      <c r="B2232" s="107" t="s">
        <v>1440</v>
      </c>
      <c r="C2232" s="6">
        <f>E2232-D2232</f>
        <v>0.4</v>
      </c>
      <c r="D2232" s="3">
        <v>0.6</v>
      </c>
      <c r="E2232" s="3">
        <v>1</v>
      </c>
    </row>
    <row r="2233" spans="2:5">
      <c r="B2233" s="107" t="s">
        <v>1441</v>
      </c>
      <c r="C2233" s="205">
        <f>C2232/C2230/C2231*C2229</f>
        <v>0.16783216783216781</v>
      </c>
      <c r="D2233" s="205">
        <f>D2232/D2231</f>
        <v>0.39999999999999997</v>
      </c>
      <c r="E2233" s="3">
        <f>C2233+D2233</f>
        <v>0.56783216783216783</v>
      </c>
    </row>
    <row r="2234" spans="2:5">
      <c r="B2234" s="107" t="s">
        <v>1443</v>
      </c>
      <c r="C2234" s="205">
        <f>C2233/E2233</f>
        <v>0.29556650246305416</v>
      </c>
      <c r="D2234" s="205">
        <f>D2233/E2233</f>
        <v>0.70443349753694573</v>
      </c>
      <c r="E2234" s="3">
        <f>C2234+D2234</f>
        <v>0.99999999999999989</v>
      </c>
    </row>
    <row r="2235" spans="2:5">
      <c r="B2235" s="107" t="s">
        <v>1442</v>
      </c>
      <c r="C2235" s="6">
        <f>E2235*C2234</f>
        <v>29.556650246305416</v>
      </c>
      <c r="D2235" s="6">
        <f>E2235*D2234</f>
        <v>70.443349753694577</v>
      </c>
      <c r="E2235" s="3">
        <v>100</v>
      </c>
    </row>
    <row r="2236" spans="2:5">
      <c r="B2236" s="107" t="s">
        <v>342</v>
      </c>
      <c r="C2236" s="6">
        <f>C2235/C2229*C2231*C2230</f>
        <v>70.443349753694577</v>
      </c>
      <c r="D2236" s="6">
        <f>D2235*D2231</f>
        <v>105.66502463054186</v>
      </c>
      <c r="E2236" s="206">
        <f>C2236+D2236</f>
        <v>176.10837438423644</v>
      </c>
    </row>
    <row r="2237" spans="2:5">
      <c r="B2237" s="105"/>
    </row>
    <row r="2238" spans="2:5">
      <c r="B2238" s="105"/>
    </row>
    <row r="2239" spans="2:5">
      <c r="B2239" s="105"/>
    </row>
    <row r="2240" spans="2:5">
      <c r="B2240" s="105"/>
    </row>
    <row r="2241" spans="2:9" ht="19.5" thickBot="1"/>
    <row r="2242" spans="2:9" ht="84.6" customHeight="1" thickBot="1">
      <c r="B2242" s="226" t="s">
        <v>1218</v>
      </c>
      <c r="C2242" s="227"/>
      <c r="D2242" s="227"/>
      <c r="E2242" s="227"/>
      <c r="F2242" s="227"/>
      <c r="G2242" s="227"/>
      <c r="H2242" s="227"/>
      <c r="I2242" s="228"/>
    </row>
    <row r="2244" spans="2:9">
      <c r="B2244" s="1" t="s">
        <v>1219</v>
      </c>
    </row>
    <row r="2245" spans="2:9">
      <c r="B2245" s="3" t="s">
        <v>1063</v>
      </c>
      <c r="C2245" s="37">
        <v>8</v>
      </c>
    </row>
    <row r="2246" spans="2:9">
      <c r="B2246" s="3" t="s">
        <v>265</v>
      </c>
      <c r="C2246" s="37">
        <v>10</v>
      </c>
    </row>
    <row r="2247" spans="2:9">
      <c r="B2247" s="3" t="s">
        <v>10</v>
      </c>
      <c r="C2247" s="3">
        <v>1200</v>
      </c>
    </row>
    <row r="2248" spans="2:9">
      <c r="B2248" s="6" t="s">
        <v>7</v>
      </c>
      <c r="C2248" s="3"/>
    </row>
    <row r="2249" spans="2:9">
      <c r="B2249" s="3" t="s">
        <v>82</v>
      </c>
      <c r="C2249" s="114">
        <f>1-EXP(-1.6*C2245/C2246)</f>
        <v>0.72196269954680581</v>
      </c>
    </row>
    <row r="2250" spans="2:9">
      <c r="B2250" s="3" t="s">
        <v>23</v>
      </c>
      <c r="C2250" s="15">
        <f>C2247*(1-C2249)</f>
        <v>333.64476054383306</v>
      </c>
    </row>
    <row r="2252" spans="2:9" ht="19.5" thickBot="1"/>
    <row r="2253" spans="2:9" ht="85.15" customHeight="1" thickBot="1">
      <c r="B2253" s="226" t="s">
        <v>1220</v>
      </c>
      <c r="C2253" s="227"/>
      <c r="D2253" s="227"/>
      <c r="E2253" s="227"/>
      <c r="F2253" s="227"/>
      <c r="G2253" s="227"/>
      <c r="H2253" s="227"/>
      <c r="I2253" s="228"/>
    </row>
    <row r="2255" spans="2:9">
      <c r="B2255" s="3" t="s">
        <v>1221</v>
      </c>
      <c r="C2255" s="37">
        <v>10</v>
      </c>
    </row>
    <row r="2256" spans="2:9">
      <c r="B2256" s="3" t="s">
        <v>1222</v>
      </c>
      <c r="C2256" s="37">
        <v>30000</v>
      </c>
    </row>
    <row r="2257" spans="2:9">
      <c r="B2257" s="3" t="s">
        <v>1223</v>
      </c>
      <c r="C2257" s="37">
        <v>12000</v>
      </c>
    </row>
    <row r="2258" spans="2:9">
      <c r="B2258" s="3" t="s">
        <v>1224</v>
      </c>
      <c r="C2258" s="37">
        <v>3500</v>
      </c>
    </row>
    <row r="2259" spans="2:9">
      <c r="B2259" s="3" t="s">
        <v>1225</v>
      </c>
      <c r="C2259" s="37">
        <v>1200</v>
      </c>
    </row>
    <row r="2260" spans="2:9">
      <c r="B2260" s="3" t="s">
        <v>1226</v>
      </c>
      <c r="C2260" s="37">
        <v>4</v>
      </c>
    </row>
    <row r="2261" spans="2:9">
      <c r="B2261" s="6" t="s">
        <v>7</v>
      </c>
      <c r="C2261" s="3"/>
    </row>
    <row r="2262" spans="2:9">
      <c r="B2262" s="3" t="s">
        <v>1227</v>
      </c>
      <c r="C2262" s="10">
        <f>C2255-C2260</f>
        <v>6</v>
      </c>
    </row>
    <row r="2263" spans="2:9">
      <c r="B2263" s="3" t="s">
        <v>1228</v>
      </c>
      <c r="C2263" s="3">
        <f>C2256/C2258</f>
        <v>8.5714285714285712</v>
      </c>
    </row>
    <row r="2264" spans="2:9">
      <c r="B2264" s="3" t="s">
        <v>1229</v>
      </c>
      <c r="C2264" s="15">
        <f>C2263-C2260</f>
        <v>4.5714285714285712</v>
      </c>
      <c r="D2264" s="1" t="s">
        <v>1232</v>
      </c>
    </row>
    <row r="2265" spans="2:9">
      <c r="B2265" s="3" t="s">
        <v>1231</v>
      </c>
      <c r="C2265" s="3">
        <f>C2257/C2259</f>
        <v>10</v>
      </c>
    </row>
    <row r="2266" spans="2:9">
      <c r="B2266" s="3" t="s">
        <v>1230</v>
      </c>
      <c r="C2266" s="10">
        <f>C2265-C2260</f>
        <v>6</v>
      </c>
    </row>
    <row r="2269" spans="2:9" ht="19.5" thickBot="1"/>
    <row r="2270" spans="2:9" ht="85.15" customHeight="1" thickBot="1">
      <c r="B2270" s="226" t="s">
        <v>1430</v>
      </c>
      <c r="C2270" s="227"/>
      <c r="D2270" s="227"/>
      <c r="E2270" s="227"/>
      <c r="F2270" s="227"/>
      <c r="G2270" s="227"/>
      <c r="H2270" s="227"/>
      <c r="I2270" s="228"/>
    </row>
    <row r="2272" spans="2:9">
      <c r="B2272" s="1" t="s">
        <v>1233</v>
      </c>
    </row>
    <row r="2273" spans="2:2">
      <c r="B2273" s="1" t="s">
        <v>1234</v>
      </c>
    </row>
    <row r="2274" spans="2:2">
      <c r="B2274" s="1" t="s">
        <v>1206</v>
      </c>
    </row>
    <row r="2275" spans="2:2">
      <c r="B2275" s="105" t="s">
        <v>1235</v>
      </c>
    </row>
    <row r="2276" spans="2:2">
      <c r="B2276" s="105"/>
    </row>
    <row r="2277" spans="2:2">
      <c r="B2277" s="105" t="s">
        <v>1237</v>
      </c>
    </row>
    <row r="2278" spans="2:2">
      <c r="B2278" s="105" t="s">
        <v>1252</v>
      </c>
    </row>
    <row r="2279" spans="2:2">
      <c r="B2279" s="105" t="s">
        <v>1238</v>
      </c>
    </row>
    <row r="2280" spans="2:2">
      <c r="B2280" s="105" t="s">
        <v>1250</v>
      </c>
    </row>
    <row r="2281" spans="2:2">
      <c r="B2281" s="105" t="s">
        <v>1239</v>
      </c>
    </row>
    <row r="2282" spans="2:2">
      <c r="B2282" s="105" t="s">
        <v>1240</v>
      </c>
    </row>
    <row r="2283" spans="2:2">
      <c r="B2283" s="161" t="s">
        <v>1236</v>
      </c>
    </row>
    <row r="2284" spans="2:2">
      <c r="B2284" s="105" t="s">
        <v>1241</v>
      </c>
    </row>
    <row r="2285" spans="2:2">
      <c r="B2285" s="105" t="s">
        <v>1242</v>
      </c>
    </row>
    <row r="2286" spans="2:2">
      <c r="B2286" s="161" t="s">
        <v>1244</v>
      </c>
    </row>
    <row r="2287" spans="2:2">
      <c r="B2287" s="105" t="s">
        <v>1243</v>
      </c>
    </row>
    <row r="2288" spans="2:2">
      <c r="B2288" s="105" t="s">
        <v>1245</v>
      </c>
    </row>
    <row r="2289" spans="2:5">
      <c r="B2289" s="105" t="s">
        <v>1246</v>
      </c>
    </row>
    <row r="2290" spans="2:5">
      <c r="B2290" s="161" t="s">
        <v>1247</v>
      </c>
    </row>
    <row r="2291" spans="2:5">
      <c r="B2291" s="161" t="s">
        <v>1248</v>
      </c>
    </row>
    <row r="2292" spans="2:5">
      <c r="B2292" s="105" t="s">
        <v>1214</v>
      </c>
    </row>
    <row r="2293" spans="2:5">
      <c r="B2293" s="195" t="s">
        <v>1249</v>
      </c>
      <c r="C2293" s="23"/>
      <c r="D2293" s="23"/>
    </row>
    <row r="2296" spans="2:5">
      <c r="B2296" s="161" t="s">
        <v>1435</v>
      </c>
    </row>
    <row r="2297" spans="2:5">
      <c r="B2297" s="107"/>
      <c r="C2297" s="3" t="s">
        <v>1437</v>
      </c>
      <c r="D2297" s="3" t="s">
        <v>1436</v>
      </c>
      <c r="E2297" s="3" t="s">
        <v>1438</v>
      </c>
    </row>
    <row r="2298" spans="2:5">
      <c r="B2298" s="107" t="s">
        <v>1439</v>
      </c>
      <c r="C2298" s="3">
        <v>32</v>
      </c>
      <c r="D2298" s="3"/>
      <c r="E2298" s="3"/>
    </row>
    <row r="2299" spans="2:5">
      <c r="B2299" s="107" t="s">
        <v>74</v>
      </c>
      <c r="C2299" s="3">
        <v>65</v>
      </c>
      <c r="D2299" s="3"/>
      <c r="E2299" s="3"/>
    </row>
    <row r="2300" spans="2:5">
      <c r="B2300" s="107" t="s">
        <v>266</v>
      </c>
      <c r="C2300" s="3">
        <v>1.1000000000000001</v>
      </c>
      <c r="D2300" s="3">
        <v>1.5</v>
      </c>
      <c r="E2300" s="3"/>
    </row>
    <row r="2301" spans="2:5">
      <c r="B2301" s="107" t="s">
        <v>1440</v>
      </c>
      <c r="C2301" s="3">
        <v>0.3</v>
      </c>
      <c r="D2301" s="3">
        <v>1</v>
      </c>
      <c r="E2301" s="3">
        <v>1.3</v>
      </c>
    </row>
    <row r="2302" spans="2:5">
      <c r="B2302" s="107" t="s">
        <v>1441</v>
      </c>
      <c r="C2302" s="205">
        <f>C2301/C2299/C2300*C2298</f>
        <v>0.13426573426573424</v>
      </c>
      <c r="D2302" s="205">
        <f>D2301/D2300</f>
        <v>0.66666666666666663</v>
      </c>
      <c r="E2302" s="3">
        <f>C2302+D2302</f>
        <v>0.80093240093240081</v>
      </c>
    </row>
    <row r="2303" spans="2:5">
      <c r="B2303" s="107" t="s">
        <v>1443</v>
      </c>
      <c r="C2303" s="205">
        <f>C2302/E2302</f>
        <v>0.16763678696158324</v>
      </c>
      <c r="D2303" s="205">
        <f>D2302/E2302</f>
        <v>0.83236321303841687</v>
      </c>
      <c r="E2303" s="3">
        <f>C2303+D2303</f>
        <v>1</v>
      </c>
    </row>
    <row r="2304" spans="2:5">
      <c r="B2304" s="107" t="s">
        <v>1442</v>
      </c>
      <c r="C2304" s="6">
        <f>E2304*C2303</f>
        <v>1.6763678696158324</v>
      </c>
      <c r="D2304" s="6">
        <f>E2304*D2303</f>
        <v>8.3236321303841692</v>
      </c>
      <c r="E2304" s="3">
        <v>10</v>
      </c>
    </row>
    <row r="2305" spans="2:9">
      <c r="B2305" s="107" t="s">
        <v>342</v>
      </c>
      <c r="C2305" s="6">
        <f>C2304/C2298*C2300*C2299</f>
        <v>3.7456344586728756</v>
      </c>
      <c r="D2305" s="6">
        <f>D2304*D2300</f>
        <v>12.485448195576254</v>
      </c>
      <c r="E2305" s="206">
        <f>C2305+D2305</f>
        <v>16.231082654249128</v>
      </c>
    </row>
    <row r="2307" spans="2:9" ht="19.5" thickBot="1"/>
    <row r="2308" spans="2:9" ht="86.25" customHeight="1" thickBot="1">
      <c r="B2308" s="226" t="s">
        <v>1431</v>
      </c>
      <c r="C2308" s="227"/>
      <c r="D2308" s="227"/>
      <c r="E2308" s="227"/>
      <c r="F2308" s="227"/>
      <c r="G2308" s="227"/>
      <c r="H2308" s="227"/>
      <c r="I2308" s="228"/>
    </row>
    <row r="2310" spans="2:9">
      <c r="B2310" s="1" t="s">
        <v>1233</v>
      </c>
    </row>
    <row r="2311" spans="2:9">
      <c r="B2311" s="1" t="s">
        <v>1234</v>
      </c>
    </row>
    <row r="2312" spans="2:9">
      <c r="B2312" s="1" t="s">
        <v>1206</v>
      </c>
    </row>
    <row r="2313" spans="2:9">
      <c r="B2313" s="105" t="s">
        <v>1253</v>
      </c>
    </row>
    <row r="2315" spans="2:9">
      <c r="B2315" s="105" t="s">
        <v>1237</v>
      </c>
    </row>
    <row r="2316" spans="2:9">
      <c r="B2316" s="105" t="s">
        <v>1254</v>
      </c>
    </row>
    <row r="2317" spans="2:9">
      <c r="B2317" s="105" t="s">
        <v>1255</v>
      </c>
    </row>
    <row r="2318" spans="2:9">
      <c r="B2318" s="105" t="s">
        <v>1256</v>
      </c>
    </row>
    <row r="2319" spans="2:9">
      <c r="B2319" s="1" t="s">
        <v>1257</v>
      </c>
    </row>
    <row r="2321" spans="2:2">
      <c r="B2321" s="1" t="s">
        <v>1258</v>
      </c>
    </row>
    <row r="2322" spans="2:2">
      <c r="B2322" s="1" t="s">
        <v>1259</v>
      </c>
    </row>
    <row r="2324" spans="2:2">
      <c r="B2324" s="1" t="s">
        <v>1260</v>
      </c>
    </row>
    <row r="2325" spans="2:2">
      <c r="B2325" s="1" t="s">
        <v>1261</v>
      </c>
    </row>
    <row r="2326" spans="2:2">
      <c r="B2326" s="1" t="s">
        <v>1262</v>
      </c>
    </row>
    <row r="2327" spans="2:2">
      <c r="B2327" s="1" t="s">
        <v>1263</v>
      </c>
    </row>
    <row r="2329" spans="2:2">
      <c r="B2329" s="1" t="s">
        <v>1264</v>
      </c>
    </row>
    <row r="2330" spans="2:2">
      <c r="B2330" s="1" t="s">
        <v>1265</v>
      </c>
    </row>
    <row r="2331" spans="2:2">
      <c r="B2331" s="1" t="s">
        <v>1266</v>
      </c>
    </row>
    <row r="2332" spans="2:2">
      <c r="B2332" s="1" t="s">
        <v>1267</v>
      </c>
    </row>
    <row r="2333" spans="2:2">
      <c r="B2333" s="1" t="s">
        <v>1268</v>
      </c>
    </row>
    <row r="2334" spans="2:2">
      <c r="B2334" s="1" t="s">
        <v>1269</v>
      </c>
    </row>
    <row r="2335" spans="2:2">
      <c r="B2335" s="1" t="s">
        <v>1270</v>
      </c>
    </row>
    <row r="2336" spans="2:2">
      <c r="B2336" s="23" t="s">
        <v>1271</v>
      </c>
    </row>
    <row r="2339" spans="2:9">
      <c r="B2339" s="161" t="s">
        <v>1435</v>
      </c>
    </row>
    <row r="2340" spans="2:9">
      <c r="B2340" s="107"/>
      <c r="C2340" s="3" t="s">
        <v>1437</v>
      </c>
      <c r="D2340" s="3" t="s">
        <v>1436</v>
      </c>
      <c r="E2340" s="3" t="s">
        <v>1438</v>
      </c>
    </row>
    <row r="2341" spans="2:9">
      <c r="B2341" s="107" t="s">
        <v>1439</v>
      </c>
      <c r="C2341" s="3">
        <v>30</v>
      </c>
      <c r="D2341" s="3"/>
      <c r="E2341" s="3"/>
    </row>
    <row r="2342" spans="2:9">
      <c r="B2342" s="107" t="s">
        <v>74</v>
      </c>
      <c r="C2342" s="3">
        <v>60</v>
      </c>
      <c r="D2342" s="3"/>
      <c r="E2342" s="3"/>
    </row>
    <row r="2343" spans="2:9">
      <c r="B2343" s="107" t="s">
        <v>266</v>
      </c>
      <c r="C2343" s="3">
        <v>1.3</v>
      </c>
      <c r="D2343" s="3">
        <v>1.5</v>
      </c>
      <c r="E2343" s="3"/>
    </row>
    <row r="2344" spans="2:9">
      <c r="B2344" s="107" t="s">
        <v>1440</v>
      </c>
      <c r="C2344" s="3">
        <v>1</v>
      </c>
      <c r="D2344" s="3">
        <v>0.3</v>
      </c>
      <c r="E2344" s="3">
        <v>1.3</v>
      </c>
    </row>
    <row r="2345" spans="2:9">
      <c r="B2345" s="107" t="s">
        <v>1441</v>
      </c>
      <c r="C2345" s="205">
        <f>C2344/C2342/C2343*C2341</f>
        <v>0.38461538461538458</v>
      </c>
      <c r="D2345" s="205">
        <f>D2344/D2343</f>
        <v>0.19999999999999998</v>
      </c>
      <c r="E2345" s="3">
        <f>C2345+D2345</f>
        <v>0.58461538461538454</v>
      </c>
    </row>
    <row r="2346" spans="2:9">
      <c r="B2346" s="107" t="s">
        <v>1443</v>
      </c>
      <c r="C2346" s="205">
        <f>C2345/E2345</f>
        <v>0.65789473684210531</v>
      </c>
      <c r="D2346" s="205">
        <f>D2345/E2345</f>
        <v>0.34210526315789475</v>
      </c>
      <c r="E2346" s="3">
        <f>C2346+D2346</f>
        <v>1</v>
      </c>
    </row>
    <row r="2347" spans="2:9">
      <c r="B2347" s="107" t="s">
        <v>1442</v>
      </c>
      <c r="C2347" s="6">
        <f>E2347*C2346</f>
        <v>6.5789473684210531</v>
      </c>
      <c r="D2347" s="6">
        <f>E2347*D2346</f>
        <v>3.4210526315789473</v>
      </c>
      <c r="E2347" s="3">
        <v>10</v>
      </c>
    </row>
    <row r="2348" spans="2:9">
      <c r="B2348" s="107" t="s">
        <v>342</v>
      </c>
      <c r="C2348" s="6">
        <f>C2347/C2341*C2343*C2342</f>
        <v>17.10526315789474</v>
      </c>
      <c r="D2348" s="6">
        <f>D2347*D2343</f>
        <v>5.1315789473684212</v>
      </c>
      <c r="E2348" s="206">
        <f>C2348+D2348</f>
        <v>22.236842105263161</v>
      </c>
    </row>
    <row r="2351" spans="2:9" ht="19.5" thickBot="1"/>
    <row r="2352" spans="2:9" ht="73.5" customHeight="1" thickBot="1">
      <c r="B2352" s="226" t="s">
        <v>1272</v>
      </c>
      <c r="C2352" s="227"/>
      <c r="D2352" s="227"/>
      <c r="E2352" s="227"/>
      <c r="F2352" s="227"/>
      <c r="G2352" s="227"/>
      <c r="H2352" s="227"/>
      <c r="I2352" s="228"/>
    </row>
    <row r="2354" spans="2:2">
      <c r="B2354" s="1" t="s">
        <v>1273</v>
      </c>
    </row>
    <row r="2355" spans="2:2">
      <c r="B2355" s="1" t="s">
        <v>1274</v>
      </c>
    </row>
    <row r="2356" spans="2:2">
      <c r="B2356" s="1" t="s">
        <v>1206</v>
      </c>
    </row>
    <row r="2357" spans="2:2">
      <c r="B2357" s="105" t="s">
        <v>1276</v>
      </c>
    </row>
    <row r="2359" spans="2:2">
      <c r="B2359" s="105" t="s">
        <v>1275</v>
      </c>
    </row>
    <row r="2360" spans="2:2">
      <c r="B2360" s="105" t="s">
        <v>1277</v>
      </c>
    </row>
    <row r="2361" spans="2:2">
      <c r="B2361" s="105" t="s">
        <v>1278</v>
      </c>
    </row>
    <row r="2362" spans="2:2">
      <c r="B2362" s="105" t="s">
        <v>1279</v>
      </c>
    </row>
    <row r="2363" spans="2:2">
      <c r="B2363" s="1" t="s">
        <v>1280</v>
      </c>
    </row>
    <row r="2365" spans="2:2">
      <c r="B2365" s="1" t="s">
        <v>1258</v>
      </c>
    </row>
    <row r="2366" spans="2:2">
      <c r="B2366" s="1" t="s">
        <v>1281</v>
      </c>
    </row>
    <row r="2368" spans="2:2">
      <c r="B2368" s="1" t="s">
        <v>1260</v>
      </c>
    </row>
    <row r="2369" spans="2:2">
      <c r="B2369" s="1" t="s">
        <v>1282</v>
      </c>
    </row>
    <row r="2370" spans="2:2">
      <c r="B2370" s="1" t="s">
        <v>1283</v>
      </c>
    </row>
    <row r="2371" spans="2:2">
      <c r="B2371" s="1" t="s">
        <v>1284</v>
      </c>
    </row>
    <row r="2372" spans="2:2">
      <c r="B2372" s="1" t="s">
        <v>1285</v>
      </c>
    </row>
    <row r="2373" spans="2:2">
      <c r="B2373" s="1" t="s">
        <v>1286</v>
      </c>
    </row>
    <row r="2374" spans="2:2">
      <c r="B2374" s="1" t="s">
        <v>1287</v>
      </c>
    </row>
    <row r="2375" spans="2:2">
      <c r="B2375" s="1" t="s">
        <v>1288</v>
      </c>
    </row>
    <row r="2377" spans="2:2">
      <c r="B2377" s="1" t="s">
        <v>1264</v>
      </c>
    </row>
    <row r="2378" spans="2:2">
      <c r="B2378" s="1" t="s">
        <v>1289</v>
      </c>
    </row>
    <row r="2379" spans="2:2">
      <c r="B2379" s="1" t="s">
        <v>1290</v>
      </c>
    </row>
    <row r="2380" spans="2:2">
      <c r="B2380" s="1" t="s">
        <v>1291</v>
      </c>
    </row>
    <row r="2381" spans="2:2">
      <c r="B2381" s="1" t="s">
        <v>1292</v>
      </c>
    </row>
    <row r="2382" spans="2:2">
      <c r="B2382" s="1" t="s">
        <v>1294</v>
      </c>
    </row>
    <row r="2383" spans="2:2">
      <c r="B2383" s="1" t="s">
        <v>1293</v>
      </c>
    </row>
    <row r="2384" spans="2:2">
      <c r="B2384" s="23" t="s">
        <v>1295</v>
      </c>
    </row>
    <row r="2387" spans="2:9">
      <c r="B2387" s="161" t="s">
        <v>1435</v>
      </c>
    </row>
    <row r="2388" spans="2:9">
      <c r="B2388" s="107"/>
      <c r="C2388" s="3" t="s">
        <v>1436</v>
      </c>
      <c r="D2388" s="3" t="s">
        <v>1437</v>
      </c>
      <c r="E2388" s="3" t="s">
        <v>1438</v>
      </c>
    </row>
    <row r="2389" spans="2:9">
      <c r="B2389" s="107" t="s">
        <v>1439</v>
      </c>
      <c r="C2389" s="3">
        <v>35</v>
      </c>
      <c r="D2389" s="3"/>
      <c r="E2389" s="3"/>
    </row>
    <row r="2390" spans="2:9">
      <c r="B2390" s="107" t="s">
        <v>74</v>
      </c>
      <c r="C2390" s="3">
        <v>70</v>
      </c>
      <c r="D2390" s="3"/>
      <c r="E2390" s="3"/>
    </row>
    <row r="2391" spans="2:9">
      <c r="B2391" s="107" t="s">
        <v>266</v>
      </c>
      <c r="C2391" s="3">
        <v>1.1000000000000001</v>
      </c>
      <c r="D2391" s="3">
        <v>1.5</v>
      </c>
      <c r="E2391" s="3"/>
    </row>
    <row r="2392" spans="2:9">
      <c r="B2392" s="107" t="s">
        <v>1440</v>
      </c>
      <c r="C2392" s="3">
        <v>0.7</v>
      </c>
      <c r="D2392" s="3">
        <v>0.3</v>
      </c>
      <c r="E2392" s="3">
        <v>1</v>
      </c>
    </row>
    <row r="2393" spans="2:9">
      <c r="B2393" s="107" t="s">
        <v>1441</v>
      </c>
      <c r="C2393" s="205">
        <f>C2392/C2390/C2391*C2389</f>
        <v>0.31818181818181818</v>
      </c>
      <c r="D2393" s="205">
        <f>D2392/D2391</f>
        <v>0.19999999999999998</v>
      </c>
      <c r="E2393" s="3">
        <f>C2393+D2393</f>
        <v>0.51818181818181819</v>
      </c>
    </row>
    <row r="2394" spans="2:9">
      <c r="B2394" s="107" t="s">
        <v>1443</v>
      </c>
      <c r="C2394" s="205">
        <f>C2393/E2393</f>
        <v>0.61403508771929827</v>
      </c>
      <c r="D2394" s="205">
        <f>D2393/E2393</f>
        <v>0.38596491228070173</v>
      </c>
      <c r="E2394" s="3">
        <f>C2394+D2394</f>
        <v>1</v>
      </c>
    </row>
    <row r="2395" spans="2:9">
      <c r="B2395" s="107" t="s">
        <v>1442</v>
      </c>
      <c r="C2395" s="6">
        <f>E2395*C2394</f>
        <v>61.403508771929829</v>
      </c>
      <c r="D2395" s="6">
        <f>E2395*D2394</f>
        <v>38.596491228070171</v>
      </c>
      <c r="E2395" s="3">
        <v>100</v>
      </c>
    </row>
    <row r="2396" spans="2:9">
      <c r="B2396" s="107" t="s">
        <v>342</v>
      </c>
      <c r="C2396" s="6">
        <f>C2395/C2389*C2391*C2390</f>
        <v>135.08771929824562</v>
      </c>
      <c r="D2396" s="206">
        <f>D2395*D2391</f>
        <v>57.89473684210526</v>
      </c>
      <c r="E2396" s="3">
        <f>C2396+D2396</f>
        <v>192.98245614035088</v>
      </c>
    </row>
    <row r="2399" spans="2:9" ht="19.5" thickBot="1"/>
    <row r="2400" spans="2:9" ht="61.5" customHeight="1" thickBot="1">
      <c r="B2400" s="226" t="s">
        <v>1296</v>
      </c>
      <c r="C2400" s="227"/>
      <c r="D2400" s="227"/>
      <c r="E2400" s="227"/>
      <c r="F2400" s="227"/>
      <c r="G2400" s="227"/>
      <c r="H2400" s="227"/>
      <c r="I2400" s="228"/>
    </row>
    <row r="2402" spans="2:3">
      <c r="B2402" s="3" t="s">
        <v>1298</v>
      </c>
      <c r="C2402" s="3">
        <v>5000000</v>
      </c>
    </row>
    <row r="2403" spans="2:3">
      <c r="B2403" s="3" t="s">
        <v>1297</v>
      </c>
      <c r="C2403" s="3">
        <v>40</v>
      </c>
    </row>
    <row r="2404" spans="2:3">
      <c r="B2404" s="3" t="s">
        <v>1299</v>
      </c>
      <c r="C2404" s="3">
        <v>2000000</v>
      </c>
    </row>
    <row r="2405" spans="2:3">
      <c r="B2405" s="3" t="s">
        <v>1300</v>
      </c>
      <c r="C2405" s="3">
        <v>30</v>
      </c>
    </row>
    <row r="2406" spans="2:3">
      <c r="B2406" s="3" t="s">
        <v>1301</v>
      </c>
      <c r="C2406" s="3">
        <v>3000000</v>
      </c>
    </row>
    <row r="2407" spans="2:3">
      <c r="B2407" s="3" t="s">
        <v>1302</v>
      </c>
      <c r="C2407" s="3">
        <v>20</v>
      </c>
    </row>
    <row r="2408" spans="2:3">
      <c r="B2408" s="3" t="s">
        <v>1303</v>
      </c>
      <c r="C2408" s="3">
        <v>8</v>
      </c>
    </row>
    <row r="2409" spans="2:3">
      <c r="B2409" s="6" t="s">
        <v>7</v>
      </c>
      <c r="C2409" s="3"/>
    </row>
    <row r="2410" spans="2:3">
      <c r="B2410" s="3" t="s">
        <v>1304</v>
      </c>
      <c r="C2410" s="114">
        <f>C2408/C2403</f>
        <v>0.2</v>
      </c>
    </row>
    <row r="2411" spans="2:3">
      <c r="B2411" s="3" t="s">
        <v>1304</v>
      </c>
      <c r="C2411" s="3">
        <f>C2402*C2410</f>
        <v>1000000</v>
      </c>
    </row>
    <row r="2412" spans="2:3">
      <c r="B2412" s="3" t="s">
        <v>1305</v>
      </c>
      <c r="C2412" s="114">
        <f>C2408/C2405</f>
        <v>0.26666666666666666</v>
      </c>
    </row>
    <row r="2413" spans="2:3">
      <c r="B2413" s="3" t="s">
        <v>1305</v>
      </c>
      <c r="C2413" s="3">
        <f>C2404*C2412</f>
        <v>533333.33333333337</v>
      </c>
    </row>
    <row r="2414" spans="2:3">
      <c r="B2414" s="3" t="s">
        <v>1306</v>
      </c>
      <c r="C2414" s="114">
        <f>C2408/C2407</f>
        <v>0.4</v>
      </c>
    </row>
    <row r="2415" spans="2:3">
      <c r="B2415" s="3" t="s">
        <v>1306</v>
      </c>
      <c r="C2415" s="3">
        <f>C2406*C2414</f>
        <v>1200000</v>
      </c>
    </row>
    <row r="2416" spans="2:3">
      <c r="B2416" s="3" t="s">
        <v>1307</v>
      </c>
      <c r="C2416" s="3">
        <f>C2411+C2413+C2415</f>
        <v>2733333.3333333335</v>
      </c>
    </row>
    <row r="2417" spans="2:9">
      <c r="B2417" s="3" t="s">
        <v>1308</v>
      </c>
      <c r="C2417" s="162">
        <f>C2411/C2416</f>
        <v>0.36585365853658536</v>
      </c>
    </row>
    <row r="2420" spans="2:9" ht="19.5" thickBot="1"/>
    <row r="2421" spans="2:9" ht="59.25" customHeight="1" thickBot="1">
      <c r="B2421" s="226" t="s">
        <v>1309</v>
      </c>
      <c r="C2421" s="227"/>
      <c r="D2421" s="227"/>
      <c r="E2421" s="227"/>
      <c r="F2421" s="227"/>
      <c r="G2421" s="227"/>
      <c r="H2421" s="227"/>
      <c r="I2421" s="228"/>
    </row>
    <row r="2423" spans="2:9">
      <c r="B2423" s="3" t="s">
        <v>1298</v>
      </c>
      <c r="C2423" s="3">
        <v>5000000</v>
      </c>
    </row>
    <row r="2424" spans="2:9">
      <c r="B2424" s="3" t="s">
        <v>1297</v>
      </c>
      <c r="C2424" s="3">
        <v>40</v>
      </c>
    </row>
    <row r="2425" spans="2:9">
      <c r="B2425" s="3" t="s">
        <v>1299</v>
      </c>
      <c r="C2425" s="3">
        <v>2000000</v>
      </c>
    </row>
    <row r="2426" spans="2:9">
      <c r="B2426" s="3" t="s">
        <v>1300</v>
      </c>
      <c r="C2426" s="3">
        <v>30</v>
      </c>
    </row>
    <row r="2427" spans="2:9">
      <c r="B2427" s="3" t="s">
        <v>1301</v>
      </c>
      <c r="C2427" s="3">
        <v>3000000</v>
      </c>
    </row>
    <row r="2428" spans="2:9">
      <c r="B2428" s="3" t="s">
        <v>1302</v>
      </c>
      <c r="C2428" s="3">
        <v>20</v>
      </c>
    </row>
    <row r="2429" spans="2:9">
      <c r="B2429" s="3" t="s">
        <v>1303</v>
      </c>
      <c r="C2429" s="3">
        <v>8</v>
      </c>
    </row>
    <row r="2430" spans="2:9">
      <c r="B2430" s="6" t="s">
        <v>7</v>
      </c>
      <c r="C2430" s="3"/>
    </row>
    <row r="2431" spans="2:9">
      <c r="B2431" s="3" t="s">
        <v>1304</v>
      </c>
      <c r="C2431" s="114">
        <f>C2429/C2424</f>
        <v>0.2</v>
      </c>
    </row>
    <row r="2432" spans="2:9">
      <c r="B2432" s="3" t="s">
        <v>1304</v>
      </c>
      <c r="C2432" s="3">
        <f>C2423*C2431</f>
        <v>1000000</v>
      </c>
    </row>
    <row r="2433" spans="2:9">
      <c r="B2433" s="3" t="s">
        <v>1305</v>
      </c>
      <c r="C2433" s="114">
        <f>C2429/C2426</f>
        <v>0.26666666666666666</v>
      </c>
    </row>
    <row r="2434" spans="2:9">
      <c r="B2434" s="3" t="s">
        <v>1305</v>
      </c>
      <c r="C2434" s="3">
        <f>C2425*C2433</f>
        <v>533333.33333333337</v>
      </c>
    </row>
    <row r="2435" spans="2:9">
      <c r="B2435" s="3" t="s">
        <v>1306</v>
      </c>
      <c r="C2435" s="114">
        <f>C2429/C2428</f>
        <v>0.4</v>
      </c>
    </row>
    <row r="2436" spans="2:9">
      <c r="B2436" s="3" t="s">
        <v>1306</v>
      </c>
      <c r="C2436" s="3">
        <f>C2427*C2435</f>
        <v>1200000</v>
      </c>
    </row>
    <row r="2437" spans="2:9">
      <c r="B2437" s="3" t="s">
        <v>1307</v>
      </c>
      <c r="C2437" s="3">
        <f>C2432+C2434+C2436</f>
        <v>2733333.3333333335</v>
      </c>
    </row>
    <row r="2438" spans="2:9">
      <c r="B2438" s="3" t="s">
        <v>1310</v>
      </c>
      <c r="C2438" s="15">
        <f>C2423+C2425+C2427-C2437</f>
        <v>7266666.666666666</v>
      </c>
    </row>
    <row r="2441" spans="2:9" ht="19.5" thickBot="1"/>
    <row r="2442" spans="2:9" ht="409.5" customHeight="1" thickBot="1">
      <c r="B2442" s="226" t="s">
        <v>1432</v>
      </c>
      <c r="C2442" s="227"/>
      <c r="D2442" s="227"/>
      <c r="E2442" s="227"/>
      <c r="F2442" s="227"/>
      <c r="G2442" s="227"/>
      <c r="H2442" s="227"/>
      <c r="I2442" s="228"/>
    </row>
    <row r="2444" spans="2:9">
      <c r="B2444" s="2" t="s">
        <v>1014</v>
      </c>
      <c r="C2444" s="1" t="s">
        <v>1015</v>
      </c>
      <c r="D2444" s="1" t="s">
        <v>1016</v>
      </c>
    </row>
    <row r="2445" spans="2:9">
      <c r="B2445" s="145" t="s">
        <v>758</v>
      </c>
      <c r="C2445" s="1">
        <v>10000000</v>
      </c>
      <c r="D2445" s="35" t="s">
        <v>1325</v>
      </c>
    </row>
    <row r="2446" spans="2:9">
      <c r="B2446" s="145" t="s">
        <v>394</v>
      </c>
      <c r="C2446" s="139">
        <v>0.13</v>
      </c>
    </row>
    <row r="2447" spans="2:9">
      <c r="B2447" s="145" t="s">
        <v>1091</v>
      </c>
      <c r="C2447" s="1">
        <f>C2445/C2446</f>
        <v>76923076.923076928</v>
      </c>
    </row>
    <row r="2448" spans="2:9">
      <c r="B2448" s="145"/>
    </row>
    <row r="2449" spans="2:4">
      <c r="B2449" s="2" t="s">
        <v>1312</v>
      </c>
      <c r="C2449" s="1" t="s">
        <v>1015</v>
      </c>
      <c r="D2449" s="1" t="s">
        <v>1016</v>
      </c>
    </row>
    <row r="2450" spans="2:4">
      <c r="B2450" s="145" t="s">
        <v>1313</v>
      </c>
      <c r="C2450" s="1">
        <v>77</v>
      </c>
    </row>
    <row r="2451" spans="2:4">
      <c r="B2451" s="145" t="s">
        <v>1314</v>
      </c>
      <c r="C2451" s="1">
        <v>1130000</v>
      </c>
    </row>
    <row r="2452" spans="2:4">
      <c r="B2452" s="145" t="s">
        <v>1315</v>
      </c>
      <c r="C2452" s="1">
        <f>C2450*C2451</f>
        <v>87010000</v>
      </c>
    </row>
    <row r="2453" spans="2:4">
      <c r="B2453" s="145"/>
    </row>
    <row r="2454" spans="2:4">
      <c r="B2454" s="2" t="s">
        <v>1017</v>
      </c>
      <c r="C2454" s="1" t="s">
        <v>1015</v>
      </c>
      <c r="D2454" s="1" t="s">
        <v>1016</v>
      </c>
    </row>
    <row r="2455" spans="2:4">
      <c r="B2455" s="145" t="s">
        <v>1316</v>
      </c>
      <c r="C2455" s="1">
        <v>10500</v>
      </c>
    </row>
    <row r="2456" spans="2:4">
      <c r="B2456" s="145" t="s">
        <v>1317</v>
      </c>
      <c r="C2456" s="1">
        <v>5500</v>
      </c>
    </row>
    <row r="2457" spans="2:4">
      <c r="B2457" s="145" t="s">
        <v>23</v>
      </c>
      <c r="C2457" s="1">
        <f>C2455*C2456</f>
        <v>57750000</v>
      </c>
      <c r="D2457" s="1" t="s">
        <v>735</v>
      </c>
    </row>
    <row r="2458" spans="2:4">
      <c r="B2458" s="2" t="s">
        <v>1321</v>
      </c>
      <c r="C2458" s="1" t="s">
        <v>1015</v>
      </c>
      <c r="D2458" s="1" t="s">
        <v>1016</v>
      </c>
    </row>
    <row r="2459" spans="2:4">
      <c r="B2459" s="145" t="s">
        <v>1319</v>
      </c>
      <c r="C2459" s="1">
        <v>45560000</v>
      </c>
    </row>
    <row r="2460" spans="2:4">
      <c r="B2460" s="145"/>
    </row>
    <row r="2461" spans="2:4">
      <c r="B2461" s="2" t="s">
        <v>1318</v>
      </c>
      <c r="C2461" s="1" t="s">
        <v>1015</v>
      </c>
      <c r="D2461" s="1" t="s">
        <v>1021</v>
      </c>
    </row>
    <row r="2462" spans="2:4">
      <c r="B2462" s="145" t="s">
        <v>1319</v>
      </c>
      <c r="C2462" s="1">
        <v>8850000</v>
      </c>
    </row>
    <row r="2463" spans="2:4">
      <c r="B2463" s="145" t="s">
        <v>82</v>
      </c>
      <c r="C2463" s="139">
        <v>0.35</v>
      </c>
    </row>
    <row r="2464" spans="2:4">
      <c r="B2464" s="145" t="s">
        <v>23</v>
      </c>
      <c r="C2464" s="1">
        <f>C2462*(1-C2463)</f>
        <v>5752500</v>
      </c>
      <c r="D2464" s="1" t="s">
        <v>1320</v>
      </c>
    </row>
    <row r="2465" spans="2:4">
      <c r="B2465" s="145"/>
    </row>
    <row r="2466" spans="2:4">
      <c r="B2466" s="2" t="s">
        <v>1020</v>
      </c>
      <c r="C2466" s="1" t="s">
        <v>1015</v>
      </c>
      <c r="D2466" s="1" t="s">
        <v>1021</v>
      </c>
    </row>
    <row r="2467" spans="2:4">
      <c r="B2467" s="145" t="s">
        <v>1022</v>
      </c>
      <c r="C2467" s="1">
        <v>75000000</v>
      </c>
      <c r="D2467" s="1" t="s">
        <v>735</v>
      </c>
    </row>
    <row r="2468" spans="2:4">
      <c r="B2468" s="145" t="s">
        <v>1023</v>
      </c>
      <c r="C2468" s="1">
        <v>15</v>
      </c>
    </row>
    <row r="2469" spans="2:4">
      <c r="B2469" s="145" t="s">
        <v>205</v>
      </c>
      <c r="C2469" s="1">
        <v>7</v>
      </c>
    </row>
    <row r="2470" spans="2:4">
      <c r="B2470" s="145"/>
      <c r="D2470" s="1" t="s">
        <v>734</v>
      </c>
    </row>
    <row r="2471" spans="2:4">
      <c r="B2471" s="2" t="s">
        <v>1026</v>
      </c>
      <c r="C2471" s="1" t="s">
        <v>1015</v>
      </c>
      <c r="D2471" s="1" t="s">
        <v>1021</v>
      </c>
    </row>
    <row r="2472" spans="2:4">
      <c r="B2472" s="145" t="s">
        <v>1022</v>
      </c>
      <c r="C2472" s="1">
        <v>1015000000</v>
      </c>
      <c r="D2472" s="1" t="s">
        <v>735</v>
      </c>
    </row>
    <row r="2473" spans="2:4">
      <c r="B2473" s="145" t="s">
        <v>15</v>
      </c>
      <c r="C2473" s="139">
        <v>0.2</v>
      </c>
      <c r="D2473" s="139">
        <v>0.28000000000000003</v>
      </c>
    </row>
    <row r="2474" spans="2:4">
      <c r="B2474" s="145" t="s">
        <v>15</v>
      </c>
      <c r="C2474" s="139">
        <v>0.3</v>
      </c>
      <c r="D2474" s="139">
        <v>0.38</v>
      </c>
    </row>
    <row r="2475" spans="2:4">
      <c r="B2475" s="145" t="s">
        <v>15</v>
      </c>
      <c r="C2475" s="139">
        <v>0.5</v>
      </c>
      <c r="D2475" s="139">
        <v>0.56999999999999995</v>
      </c>
    </row>
    <row r="2476" spans="2:4">
      <c r="B2476" s="145"/>
      <c r="C2476" s="139"/>
      <c r="D2476" s="139"/>
    </row>
    <row r="2477" spans="2:4">
      <c r="B2477" s="2" t="s">
        <v>1027</v>
      </c>
      <c r="C2477" s="1" t="s">
        <v>1015</v>
      </c>
      <c r="D2477" s="1" t="s">
        <v>1021</v>
      </c>
    </row>
    <row r="2478" spans="2:4">
      <c r="B2478" s="145" t="s">
        <v>1022</v>
      </c>
      <c r="C2478" s="1">
        <v>115000000</v>
      </c>
      <c r="D2478" s="1" t="s">
        <v>735</v>
      </c>
    </row>
    <row r="2479" spans="2:4">
      <c r="B2479" s="145" t="s">
        <v>177</v>
      </c>
      <c r="C2479" s="105">
        <v>2011</v>
      </c>
      <c r="D2479" s="1" t="s">
        <v>1029</v>
      </c>
    </row>
    <row r="2480" spans="2:4">
      <c r="B2480" s="145" t="s">
        <v>83</v>
      </c>
      <c r="C2480" s="105">
        <v>2018</v>
      </c>
      <c r="D2480" s="1" t="s">
        <v>1029</v>
      </c>
    </row>
    <row r="2481" spans="2:4">
      <c r="B2481" s="145" t="s">
        <v>265</v>
      </c>
      <c r="C2481" s="105">
        <v>18</v>
      </c>
      <c r="D2481" s="1" t="s">
        <v>1028</v>
      </c>
    </row>
    <row r="2482" spans="2:4">
      <c r="B2482" s="163" t="s">
        <v>205</v>
      </c>
      <c r="C2482" s="164">
        <v>10</v>
      </c>
      <c r="D2482" s="1" t="s">
        <v>1028</v>
      </c>
    </row>
    <row r="2483" spans="2:4">
      <c r="B2483" s="145" t="s">
        <v>1031</v>
      </c>
      <c r="C2483" s="105">
        <v>1.84</v>
      </c>
      <c r="D2483" s="35" t="s">
        <v>1324</v>
      </c>
    </row>
    <row r="2484" spans="2:4">
      <c r="B2484" s="145" t="s">
        <v>1311</v>
      </c>
      <c r="C2484" s="105">
        <v>2.56</v>
      </c>
    </row>
    <row r="2485" spans="2:4">
      <c r="B2485" s="145"/>
      <c r="C2485" s="139"/>
    </row>
    <row r="2486" spans="2:4">
      <c r="B2486" s="2" t="s">
        <v>1322</v>
      </c>
      <c r="C2486" s="1" t="s">
        <v>1025</v>
      </c>
    </row>
    <row r="2487" spans="2:4">
      <c r="B2487" s="145" t="s">
        <v>23</v>
      </c>
      <c r="C2487" s="1">
        <v>271200000</v>
      </c>
      <c r="D2487" s="1" t="s">
        <v>734</v>
      </c>
    </row>
    <row r="2488" spans="2:4">
      <c r="B2488" s="145"/>
      <c r="C2488" s="139"/>
    </row>
    <row r="2489" spans="2:4">
      <c r="B2489" s="2" t="s">
        <v>1033</v>
      </c>
      <c r="C2489" s="2">
        <v>800000000</v>
      </c>
      <c r="D2489" s="1" t="s">
        <v>735</v>
      </c>
    </row>
    <row r="2491" spans="2:4">
      <c r="B2491" s="1" t="s">
        <v>1034</v>
      </c>
    </row>
    <row r="2492" spans="2:4">
      <c r="B2492" s="2" t="s">
        <v>1035</v>
      </c>
      <c r="C2492" s="2">
        <f>C2447+C2452+C2457+C2459</f>
        <v>267243076.92307693</v>
      </c>
    </row>
    <row r="2493" spans="2:4">
      <c r="B2493" s="2"/>
    </row>
    <row r="2494" spans="2:4">
      <c r="B2494" s="1" t="s">
        <v>1036</v>
      </c>
    </row>
    <row r="2495" spans="2:4">
      <c r="B2495" s="145" t="s">
        <v>82</v>
      </c>
      <c r="C2495" s="146">
        <f>C2469/C2468</f>
        <v>0.46666666666666667</v>
      </c>
      <c r="D2495" s="35" t="s">
        <v>1047</v>
      </c>
    </row>
    <row r="2496" spans="2:4">
      <c r="B2496" s="145" t="s">
        <v>13</v>
      </c>
      <c r="C2496" s="1">
        <f>C2467*(1-C2495)</f>
        <v>40000000</v>
      </c>
    </row>
    <row r="2497" spans="2:4">
      <c r="B2497" s="1" t="s">
        <v>1037</v>
      </c>
    </row>
    <row r="2498" spans="2:4">
      <c r="B2498" s="145" t="s">
        <v>82</v>
      </c>
      <c r="C2498" s="146">
        <f>C2473*D2473+C2474*D2474+C2475*D2475</f>
        <v>0.45499999999999996</v>
      </c>
      <c r="D2498" s="35" t="s">
        <v>1050</v>
      </c>
    </row>
    <row r="2499" spans="2:4">
      <c r="B2499" s="145" t="s">
        <v>13</v>
      </c>
      <c r="C2499" s="1">
        <f>C2472*(1-C2498)</f>
        <v>553175000</v>
      </c>
    </row>
    <row r="2500" spans="2:4">
      <c r="B2500" s="1" t="s">
        <v>1038</v>
      </c>
    </row>
    <row r="2501" spans="2:4">
      <c r="B2501" s="145" t="s">
        <v>15</v>
      </c>
      <c r="C2501" s="146">
        <f>C2482/C2481</f>
        <v>0.55555555555555558</v>
      </c>
      <c r="D2501" s="35" t="s">
        <v>1047</v>
      </c>
    </row>
    <row r="2502" spans="2:4">
      <c r="B2502" s="145" t="s">
        <v>826</v>
      </c>
      <c r="C2502" s="1">
        <f>C2483/C2484</f>
        <v>0.71875</v>
      </c>
      <c r="D2502" s="35" t="s">
        <v>1039</v>
      </c>
    </row>
    <row r="2503" spans="2:4">
      <c r="B2503" s="145" t="s">
        <v>562</v>
      </c>
      <c r="C2503" s="1">
        <f>C2478*C2502</f>
        <v>82656250</v>
      </c>
      <c r="D2503" s="35" t="s">
        <v>1323</v>
      </c>
    </row>
    <row r="2504" spans="2:4">
      <c r="B2504" s="145" t="s">
        <v>13</v>
      </c>
      <c r="C2504" s="1">
        <f>C2503*(1-C2501)</f>
        <v>36736111.111111112</v>
      </c>
      <c r="D2504" s="35" t="s">
        <v>1326</v>
      </c>
    </row>
    <row r="2505" spans="2:4">
      <c r="B2505" s="2" t="s">
        <v>1040</v>
      </c>
      <c r="C2505" s="2">
        <f>C2464+C2496+C2499+C2504</f>
        <v>635663611.11111116</v>
      </c>
      <c r="D2505" s="35" t="s">
        <v>1327</v>
      </c>
    </row>
    <row r="2507" spans="2:4">
      <c r="B2507" s="2" t="s">
        <v>1041</v>
      </c>
      <c r="C2507" s="2">
        <f>C2489-C2492</f>
        <v>532756923.07692307</v>
      </c>
      <c r="D2507" s="35" t="s">
        <v>1042</v>
      </c>
    </row>
    <row r="2508" spans="2:4">
      <c r="D2508" s="136"/>
    </row>
    <row r="2509" spans="2:4">
      <c r="B2509" s="2" t="s">
        <v>47</v>
      </c>
      <c r="C2509" s="147">
        <f>1-C2507/C2505</f>
        <v>0.16188859364517005</v>
      </c>
      <c r="D2509" s="136"/>
    </row>
    <row r="2510" spans="2:4">
      <c r="D2510" s="136"/>
    </row>
    <row r="2511" spans="2:4">
      <c r="B2511" s="2" t="s">
        <v>1043</v>
      </c>
      <c r="C2511" s="11">
        <f>C2504*(1-C2509)</f>
        <v>30788953.747340627</v>
      </c>
      <c r="D2511" s="35" t="s">
        <v>1044</v>
      </c>
    </row>
    <row r="2512" spans="2:4">
      <c r="B2512" s="145"/>
      <c r="D2512" s="136"/>
    </row>
    <row r="2513" spans="2:9">
      <c r="B2513" s="145"/>
      <c r="D2513" s="136"/>
    </row>
    <row r="2514" spans="2:9" ht="19.5" thickBot="1">
      <c r="B2514" s="145"/>
      <c r="D2514" s="136"/>
    </row>
    <row r="2515" spans="2:9" ht="147" customHeight="1" thickBot="1">
      <c r="B2515" s="226" t="s">
        <v>1328</v>
      </c>
      <c r="C2515" s="227"/>
      <c r="D2515" s="227"/>
      <c r="E2515" s="227"/>
      <c r="F2515" s="227"/>
      <c r="G2515" s="227"/>
      <c r="H2515" s="227"/>
      <c r="I2515" s="228"/>
    </row>
    <row r="2516" spans="2:9" ht="19.5" thickBot="1"/>
    <row r="2517" spans="2:9">
      <c r="B2517" s="57"/>
      <c r="C2517" s="58" t="s">
        <v>522</v>
      </c>
      <c r="D2517" s="58" t="s">
        <v>1329</v>
      </c>
      <c r="E2517" s="59" t="s">
        <v>521</v>
      </c>
    </row>
    <row r="2518" spans="2:9">
      <c r="B2518" s="60" t="s">
        <v>523</v>
      </c>
      <c r="C2518" s="5">
        <v>2</v>
      </c>
      <c r="D2518" s="5">
        <v>5</v>
      </c>
      <c r="E2518" s="66">
        <v>0</v>
      </c>
    </row>
    <row r="2519" spans="2:9">
      <c r="B2519" s="60" t="s">
        <v>524</v>
      </c>
      <c r="C2519" s="22">
        <v>0.6</v>
      </c>
      <c r="D2519" s="22">
        <v>0</v>
      </c>
      <c r="E2519" s="61"/>
    </row>
    <row r="2520" spans="2:9">
      <c r="B2520" s="60" t="s">
        <v>525</v>
      </c>
      <c r="C2520" s="5">
        <v>5</v>
      </c>
      <c r="D2520" s="5">
        <v>0</v>
      </c>
      <c r="E2520" s="61"/>
    </row>
    <row r="2521" spans="2:9">
      <c r="B2521" s="60" t="s">
        <v>1330</v>
      </c>
      <c r="C2521" s="165"/>
      <c r="D2521" s="165">
        <v>-1</v>
      </c>
      <c r="E2521" s="61"/>
    </row>
    <row r="2522" spans="2:9">
      <c r="B2522" s="60" t="s">
        <v>527</v>
      </c>
      <c r="C2522" s="53">
        <f>C2520+C2521</f>
        <v>5</v>
      </c>
      <c r="D2522" s="5">
        <v>0</v>
      </c>
      <c r="E2522" s="66">
        <v>4</v>
      </c>
    </row>
    <row r="2523" spans="2:9">
      <c r="B2523" s="60" t="s">
        <v>528</v>
      </c>
      <c r="C2523" s="5"/>
      <c r="D2523" s="5"/>
      <c r="E2523" s="66">
        <v>7</v>
      </c>
    </row>
    <row r="2524" spans="2:9">
      <c r="B2524" s="60" t="s">
        <v>265</v>
      </c>
      <c r="C2524" s="54">
        <f>1/(C2519/C2520)</f>
        <v>8.3333333333333339</v>
      </c>
      <c r="D2524" s="196">
        <v>7</v>
      </c>
      <c r="E2524" s="67">
        <f>E2522+E2523</f>
        <v>11</v>
      </c>
    </row>
    <row r="2525" spans="2:9">
      <c r="B2525" s="60" t="s">
        <v>530</v>
      </c>
      <c r="C2525" s="5">
        <v>1</v>
      </c>
      <c r="D2525" s="102">
        <f>1/1.2</f>
        <v>0.83333333333333337</v>
      </c>
      <c r="E2525" s="66">
        <v>1</v>
      </c>
      <c r="F2525" s="24" t="s">
        <v>1334</v>
      </c>
    </row>
    <row r="2526" spans="2:9">
      <c r="B2526" s="60" t="s">
        <v>529</v>
      </c>
      <c r="C2526" s="4">
        <v>200000</v>
      </c>
      <c r="D2526" s="54">
        <f>400000*1.18</f>
        <v>472000</v>
      </c>
      <c r="E2526" s="61">
        <v>300000</v>
      </c>
      <c r="F2526" s="24" t="s">
        <v>1332</v>
      </c>
    </row>
    <row r="2527" spans="2:9">
      <c r="B2527" s="60" t="s">
        <v>532</v>
      </c>
      <c r="C2527" s="166">
        <v>-0.1</v>
      </c>
      <c r="D2527" s="166">
        <v>-0.1</v>
      </c>
      <c r="E2527" s="167">
        <v>-0.1</v>
      </c>
      <c r="F2527" s="24" t="s">
        <v>1331</v>
      </c>
    </row>
    <row r="2528" spans="2:9">
      <c r="B2528" s="60" t="s">
        <v>533</v>
      </c>
      <c r="C2528" s="21">
        <f>C2522/C2524</f>
        <v>0.6</v>
      </c>
      <c r="D2528" s="21">
        <f>D2522/D2524</f>
        <v>0</v>
      </c>
      <c r="E2528" s="62">
        <f>E2522/E2524</f>
        <v>0.36363636363636365</v>
      </c>
      <c r="F2528" s="24" t="s">
        <v>511</v>
      </c>
    </row>
    <row r="2529" spans="2:8">
      <c r="B2529" s="60" t="s">
        <v>534</v>
      </c>
      <c r="C2529" s="4">
        <f>C2526/(1-C2519)</f>
        <v>500000</v>
      </c>
      <c r="D2529" s="4">
        <f>D2526/(1-D2519)</f>
        <v>472000</v>
      </c>
      <c r="E2529" s="61">
        <f>E2526/(1-E2522/E2524)</f>
        <v>471428.57142857142</v>
      </c>
      <c r="F2529" s="24" t="s">
        <v>905</v>
      </c>
    </row>
    <row r="2530" spans="2:8">
      <c r="B2530" s="60" t="s">
        <v>541</v>
      </c>
      <c r="C2530" s="54">
        <f>C2529*(1+C2527)^C2518</f>
        <v>405000</v>
      </c>
      <c r="D2530" s="54">
        <f>D2529*(1+D2527)^D2518</f>
        <v>278711.28000000009</v>
      </c>
      <c r="E2530" s="69">
        <f>E2529*(1+E2527)^E2518</f>
        <v>471428.57142857142</v>
      </c>
      <c r="F2530" s="2">
        <f>SUM(C2530:E2530)</f>
        <v>1155139.8514285714</v>
      </c>
      <c r="G2530" s="24" t="s">
        <v>548</v>
      </c>
    </row>
    <row r="2531" spans="2:8">
      <c r="B2531" s="60" t="s">
        <v>536</v>
      </c>
      <c r="C2531" s="4">
        <f>C2530/1.18</f>
        <v>343220.33898305084</v>
      </c>
      <c r="D2531" s="4">
        <f t="shared" ref="D2531:E2531" si="32">D2530/1.18</f>
        <v>236196.00000000009</v>
      </c>
      <c r="E2531" s="61">
        <f t="shared" si="32"/>
        <v>399515.73849878937</v>
      </c>
      <c r="F2531" s="24" t="s">
        <v>537</v>
      </c>
      <c r="G2531" s="24"/>
    </row>
    <row r="2532" spans="2:8">
      <c r="B2532" s="60" t="s">
        <v>538</v>
      </c>
      <c r="C2532" s="4">
        <f>(C2518+C2522)*C2525</f>
        <v>7</v>
      </c>
      <c r="D2532" s="4">
        <f>(D2518+D2521)*D2525</f>
        <v>3.3333333333333335</v>
      </c>
      <c r="E2532" s="61">
        <f>(E2518+E2522)*E2525</f>
        <v>4</v>
      </c>
      <c r="F2532" s="24" t="s">
        <v>539</v>
      </c>
    </row>
    <row r="2533" spans="2:8">
      <c r="B2533" s="60" t="s">
        <v>371</v>
      </c>
      <c r="C2533" s="21">
        <f>C2532/C2524</f>
        <v>0.84</v>
      </c>
      <c r="D2533" s="21">
        <f>D2532/D2524</f>
        <v>0.47619047619047622</v>
      </c>
      <c r="E2533" s="62">
        <f>E2532/E2524</f>
        <v>0.36363636363636365</v>
      </c>
      <c r="F2533" s="24" t="s">
        <v>555</v>
      </c>
    </row>
    <row r="2534" spans="2:8">
      <c r="B2534" s="60" t="s">
        <v>540</v>
      </c>
      <c r="C2534" s="4">
        <f>C2530*C2533</f>
        <v>340200</v>
      </c>
      <c r="D2534" s="4">
        <f>D2530*D2533</f>
        <v>132719.65714285721</v>
      </c>
      <c r="E2534" s="61">
        <f>E2530*E2533</f>
        <v>171428.57142857142</v>
      </c>
      <c r="F2534" s="2">
        <f>SUM(C2534:E2534)</f>
        <v>644348.22857142868</v>
      </c>
      <c r="G2534" s="74">
        <f>F2534/F2530</f>
        <v>0.55780971262878487</v>
      </c>
    </row>
    <row r="2535" spans="2:8">
      <c r="B2535" s="60" t="s">
        <v>542</v>
      </c>
      <c r="C2535" s="4">
        <f>C2530-C2534</f>
        <v>64800</v>
      </c>
      <c r="D2535" s="4">
        <f>D2530-D2534</f>
        <v>145991.62285714288</v>
      </c>
      <c r="E2535" s="61">
        <f>E2530-E2534</f>
        <v>300000</v>
      </c>
      <c r="F2535" s="11">
        <f>SUM(C2535:E2535)</f>
        <v>510791.62285714288</v>
      </c>
    </row>
    <row r="2536" spans="2:8">
      <c r="B2536" s="60" t="s">
        <v>543</v>
      </c>
      <c r="C2536" s="56">
        <f>C2535/F2535</f>
        <v>0.1268619082621939</v>
      </c>
      <c r="D2536" s="56">
        <f>D2535/F2535</f>
        <v>0.28581444237579734</v>
      </c>
      <c r="E2536" s="70">
        <f>E2535/F2535</f>
        <v>0.58732364936200876</v>
      </c>
    </row>
    <row r="2537" spans="2:8">
      <c r="B2537" s="60" t="s">
        <v>544</v>
      </c>
      <c r="C2537" s="21">
        <f>1/C2524</f>
        <v>0.12</v>
      </c>
      <c r="D2537" s="21">
        <f>1/D2524</f>
        <v>0.14285714285714285</v>
      </c>
      <c r="E2537" s="62">
        <f>1/E2524</f>
        <v>9.0909090909090912E-2</v>
      </c>
      <c r="F2537" s="24" t="s">
        <v>545</v>
      </c>
    </row>
    <row r="2538" spans="2:8" ht="19.5" thickBot="1">
      <c r="B2538" s="63" t="s">
        <v>546</v>
      </c>
      <c r="C2538" s="71">
        <f>C2530*C2537</f>
        <v>48600</v>
      </c>
      <c r="D2538" s="71">
        <f>D2530*D2537</f>
        <v>39815.897142857153</v>
      </c>
      <c r="E2538" s="72">
        <f>E2530*E2537</f>
        <v>42857.142857142855</v>
      </c>
      <c r="F2538" s="2">
        <f>SUM(C2538:E2538)</f>
        <v>131273.04</v>
      </c>
      <c r="G2538" s="74">
        <f>F2538/F2530</f>
        <v>0.11364255145180344</v>
      </c>
      <c r="H2538" s="24" t="s">
        <v>547</v>
      </c>
    </row>
    <row r="2539" spans="2:8">
      <c r="B2539" s="57" t="s">
        <v>1333</v>
      </c>
      <c r="C2539" s="58">
        <f>C2530/(1+C2527)</f>
        <v>450000</v>
      </c>
      <c r="D2539" s="58">
        <f t="shared" ref="D2539:E2539" si="33">D2530/(1+D2527)</f>
        <v>309679.20000000007</v>
      </c>
      <c r="E2539" s="59">
        <f t="shared" si="33"/>
        <v>523809.52380952379</v>
      </c>
      <c r="F2539" s="2">
        <f>SUM(C2539:E2539)</f>
        <v>1283488.723809524</v>
      </c>
      <c r="G2539" s="24"/>
      <c r="H2539" s="24" t="s">
        <v>549</v>
      </c>
    </row>
    <row r="2540" spans="2:8">
      <c r="B2540" s="60" t="s">
        <v>583</v>
      </c>
      <c r="C2540" s="4">
        <f>C2532-C2525</f>
        <v>6</v>
      </c>
      <c r="D2540" s="4">
        <f>D2532-D2525</f>
        <v>2.5</v>
      </c>
      <c r="E2540" s="61">
        <f>E2532-E2525</f>
        <v>3</v>
      </c>
    </row>
    <row r="2541" spans="2:8">
      <c r="B2541" s="60" t="s">
        <v>584</v>
      </c>
      <c r="C2541" s="21">
        <f>C2540/C2524</f>
        <v>0.72</v>
      </c>
      <c r="D2541" s="21">
        <f>D2540/D2524</f>
        <v>0.35714285714285715</v>
      </c>
      <c r="E2541" s="62">
        <f>E2540/E2524</f>
        <v>0.27272727272727271</v>
      </c>
    </row>
    <row r="2542" spans="2:8">
      <c r="B2542" s="60" t="s">
        <v>584</v>
      </c>
      <c r="C2542" s="4">
        <f>C2539*C2541</f>
        <v>324000</v>
      </c>
      <c r="D2542" s="4">
        <f t="shared" ref="D2542:E2542" si="34">D2539*D2541</f>
        <v>110599.71428571432</v>
      </c>
      <c r="E2542" s="61">
        <f t="shared" si="34"/>
        <v>142857.14285714284</v>
      </c>
      <c r="F2542" s="2">
        <f>SUM(C2542:E2542)</f>
        <v>577456.85714285716</v>
      </c>
      <c r="G2542" s="74">
        <f>F2542/F2539</f>
        <v>0.44991190528648117</v>
      </c>
      <c r="H2542" s="24" t="s">
        <v>554</v>
      </c>
    </row>
    <row r="2543" spans="2:8">
      <c r="B2543" s="60" t="s">
        <v>543</v>
      </c>
      <c r="C2543" s="4">
        <f>C2539/F2539</f>
        <v>0.35060689794325162</v>
      </c>
      <c r="D2543" s="4">
        <f>D2539/F2539</f>
        <v>0.24127925259899516</v>
      </c>
      <c r="E2543" s="61">
        <f>E2539/F2539</f>
        <v>0.40811384945775314</v>
      </c>
      <c r="F2543" s="2"/>
      <c r="G2543" s="51"/>
      <c r="H2543" s="24"/>
    </row>
    <row r="2544" spans="2:8" ht="19.5" thickBot="1">
      <c r="B2544" s="63" t="s">
        <v>584</v>
      </c>
      <c r="C2544" s="64">
        <f>C2541*C2543</f>
        <v>0.25243696651914116</v>
      </c>
      <c r="D2544" s="64">
        <f t="shared" ref="D2544:E2544" si="35">D2541*D2543</f>
        <v>8.6171161642498273E-2</v>
      </c>
      <c r="E2544" s="65">
        <f t="shared" si="35"/>
        <v>0.11130377712484175</v>
      </c>
      <c r="F2544" s="77">
        <f>SUM(C2544:E2544)</f>
        <v>0.44991190528648117</v>
      </c>
      <c r="G2544" s="24" t="s">
        <v>1364</v>
      </c>
      <c r="H2544" s="24"/>
    </row>
    <row r="2547" spans="2:9" ht="19.5" thickBot="1"/>
    <row r="2548" spans="2:9" ht="42.75" customHeight="1" thickBot="1">
      <c r="B2548" s="226" t="s">
        <v>1335</v>
      </c>
      <c r="C2548" s="227"/>
      <c r="D2548" s="227"/>
      <c r="E2548" s="227"/>
      <c r="F2548" s="227"/>
      <c r="G2548" s="227"/>
      <c r="H2548" s="227"/>
      <c r="I2548" s="228"/>
    </row>
    <row r="2550" spans="2:9">
      <c r="B2550" s="3" t="s">
        <v>297</v>
      </c>
      <c r="C2550" s="3">
        <v>70000</v>
      </c>
    </row>
    <row r="2551" spans="2:9">
      <c r="B2551" s="3" t="s">
        <v>200</v>
      </c>
      <c r="C2551" s="3">
        <v>40</v>
      </c>
    </row>
    <row r="2552" spans="2:9">
      <c r="B2552" s="3" t="s">
        <v>1336</v>
      </c>
      <c r="C2552" s="3">
        <v>90000</v>
      </c>
    </row>
    <row r="2553" spans="2:9">
      <c r="B2553" s="3" t="s">
        <v>200</v>
      </c>
      <c r="C2553" s="3">
        <v>60</v>
      </c>
    </row>
    <row r="2554" spans="2:9">
      <c r="B2554" s="3" t="s">
        <v>118</v>
      </c>
      <c r="C2554" s="3">
        <v>0.8</v>
      </c>
    </row>
    <row r="2555" spans="2:9">
      <c r="B2555" s="6" t="s">
        <v>7</v>
      </c>
      <c r="C2555" s="3"/>
    </row>
    <row r="2556" spans="2:9">
      <c r="B2556" s="3" t="s">
        <v>1337</v>
      </c>
      <c r="C2556" s="3">
        <f>C2552*(C2551/C2553)^C2554</f>
        <v>65068.306271861904</v>
      </c>
    </row>
    <row r="2557" spans="2:9">
      <c r="B2557" s="3" t="s">
        <v>1338</v>
      </c>
      <c r="C2557" s="117">
        <f>1-C2556/C2550</f>
        <v>7.0452767544829986E-2</v>
      </c>
    </row>
    <row r="2560" spans="2:9" ht="19.5" thickBot="1"/>
    <row r="2561" spans="2:9" ht="60" customHeight="1" thickBot="1">
      <c r="B2561" s="226" t="s">
        <v>1433</v>
      </c>
      <c r="C2561" s="227"/>
      <c r="D2561" s="227"/>
      <c r="E2561" s="227"/>
      <c r="F2561" s="227"/>
      <c r="G2561" s="227"/>
      <c r="H2561" s="227"/>
      <c r="I2561" s="228"/>
    </row>
    <row r="2563" spans="2:9">
      <c r="B2563" s="3" t="s">
        <v>1340</v>
      </c>
      <c r="C2563" s="3">
        <v>100000</v>
      </c>
    </row>
    <row r="2564" spans="2:9">
      <c r="B2564" s="3" t="s">
        <v>1339</v>
      </c>
      <c r="C2564" s="3">
        <v>118</v>
      </c>
    </row>
    <row r="2565" spans="2:9">
      <c r="B2565" s="3" t="s">
        <v>1341</v>
      </c>
      <c r="C2565" s="3">
        <v>150</v>
      </c>
    </row>
    <row r="2566" spans="2:9">
      <c r="B2566" s="6" t="s">
        <v>7</v>
      </c>
      <c r="C2566" s="3"/>
    </row>
    <row r="2567" spans="2:9">
      <c r="B2567" s="3" t="s">
        <v>1342</v>
      </c>
      <c r="C2567" s="3">
        <f>C2565/C2564</f>
        <v>1.271186440677966</v>
      </c>
    </row>
    <row r="2568" spans="2:9">
      <c r="B2568" s="3" t="s">
        <v>1344</v>
      </c>
      <c r="C2568" s="3">
        <f>C2563*1.18</f>
        <v>118000</v>
      </c>
    </row>
    <row r="2569" spans="2:9">
      <c r="B2569" s="3" t="s">
        <v>1343</v>
      </c>
      <c r="C2569" s="3">
        <f>C2568*C2567</f>
        <v>150000</v>
      </c>
    </row>
    <row r="2570" spans="2:9">
      <c r="B2570" s="3" t="s">
        <v>1345</v>
      </c>
      <c r="C2570" s="15">
        <f>C2569/1.2</f>
        <v>125000</v>
      </c>
    </row>
    <row r="2573" spans="2:9" ht="19.5" thickBot="1"/>
    <row r="2574" spans="2:9" ht="61.5" customHeight="1" thickBot="1">
      <c r="B2574" s="226" t="s">
        <v>1434</v>
      </c>
      <c r="C2574" s="227"/>
      <c r="D2574" s="227"/>
      <c r="E2574" s="227"/>
      <c r="F2574" s="227"/>
      <c r="G2574" s="227"/>
      <c r="H2574" s="227"/>
      <c r="I2574" s="228"/>
    </row>
    <row r="2576" spans="2:9">
      <c r="B2576" s="3" t="s">
        <v>1340</v>
      </c>
      <c r="C2576" s="3">
        <v>100000</v>
      </c>
    </row>
    <row r="2577" spans="2:9">
      <c r="B2577" s="3" t="s">
        <v>1339</v>
      </c>
      <c r="C2577" s="3">
        <v>118</v>
      </c>
    </row>
    <row r="2578" spans="2:9">
      <c r="B2578" s="3" t="s">
        <v>1341</v>
      </c>
      <c r="C2578" s="3">
        <v>150</v>
      </c>
    </row>
    <row r="2579" spans="2:9">
      <c r="B2579" s="6" t="s">
        <v>7</v>
      </c>
      <c r="C2579" s="3"/>
    </row>
    <row r="2580" spans="2:9">
      <c r="B2580" s="3" t="s">
        <v>1342</v>
      </c>
      <c r="C2580" s="3">
        <f>C2578/C2577</f>
        <v>1.271186440677966</v>
      </c>
    </row>
    <row r="2581" spans="2:9">
      <c r="B2581" s="3" t="s">
        <v>1344</v>
      </c>
      <c r="C2581" s="3">
        <f>C2576*1.18</f>
        <v>118000</v>
      </c>
    </row>
    <row r="2582" spans="2:9">
      <c r="B2582" s="3" t="s">
        <v>1343</v>
      </c>
      <c r="C2582" s="15">
        <f>C2581*C2580</f>
        <v>150000</v>
      </c>
    </row>
    <row r="2585" spans="2:9" ht="19.5" thickBot="1"/>
    <row r="2586" spans="2:9" ht="77.25" customHeight="1" thickBot="1">
      <c r="B2586" s="226" t="s">
        <v>1350</v>
      </c>
      <c r="C2586" s="227"/>
      <c r="D2586" s="227"/>
      <c r="E2586" s="227"/>
      <c r="F2586" s="227"/>
      <c r="G2586" s="227"/>
      <c r="H2586" s="227"/>
      <c r="I2586" s="228"/>
    </row>
    <row r="2588" spans="2:9">
      <c r="B2588" s="3" t="s">
        <v>1346</v>
      </c>
      <c r="C2588" s="3">
        <v>1200000</v>
      </c>
    </row>
    <row r="2589" spans="2:9">
      <c r="B2589" s="3" t="s">
        <v>1347</v>
      </c>
      <c r="C2589" s="3">
        <v>8</v>
      </c>
    </row>
    <row r="2590" spans="2:9">
      <c r="B2590" s="3" t="s">
        <v>1348</v>
      </c>
      <c r="C2590" s="3">
        <v>10</v>
      </c>
    </row>
    <row r="2591" spans="2:9">
      <c r="B2591" s="6" t="s">
        <v>7</v>
      </c>
      <c r="C2591" s="3"/>
    </row>
    <row r="2592" spans="2:9">
      <c r="B2592" s="3" t="s">
        <v>1349</v>
      </c>
      <c r="C2592" s="114">
        <f>1-EXP(-1.6*C2589/C2590)</f>
        <v>0.72196269954680581</v>
      </c>
    </row>
    <row r="2593" spans="2:9">
      <c r="B2593" s="3" t="s">
        <v>1349</v>
      </c>
      <c r="C2593" s="15">
        <f>C2588*C2592</f>
        <v>866355.23945616698</v>
      </c>
    </row>
    <row r="2596" spans="2:9" ht="19.5" thickBot="1"/>
    <row r="2597" spans="2:9" ht="40.5" customHeight="1" thickBot="1">
      <c r="B2597" s="226" t="s">
        <v>1638</v>
      </c>
      <c r="C2597" s="227"/>
      <c r="D2597" s="227"/>
      <c r="E2597" s="227"/>
      <c r="F2597" s="227"/>
      <c r="G2597" s="227"/>
      <c r="H2597" s="227"/>
      <c r="I2597" s="228"/>
    </row>
    <row r="2599" spans="2:9">
      <c r="B2599" s="3" t="s">
        <v>1351</v>
      </c>
      <c r="C2599" s="3">
        <v>0.85</v>
      </c>
    </row>
    <row r="2600" spans="2:9">
      <c r="B2600" s="3" t="s">
        <v>556</v>
      </c>
      <c r="C2600" s="3">
        <v>2.1</v>
      </c>
    </row>
    <row r="2601" spans="2:9">
      <c r="B2601" s="3" t="s">
        <v>1352</v>
      </c>
      <c r="C2601" s="30">
        <f>1/1.4</f>
        <v>0.7142857142857143</v>
      </c>
    </row>
    <row r="2602" spans="2:9">
      <c r="B2602" s="6" t="s">
        <v>7</v>
      </c>
      <c r="C2602" s="3"/>
    </row>
    <row r="2603" spans="2:9">
      <c r="B2603" s="3" t="s">
        <v>1353</v>
      </c>
      <c r="C2603" s="30">
        <f>C2599/C2600</f>
        <v>0.40476190476190471</v>
      </c>
    </row>
    <row r="2604" spans="2:9">
      <c r="B2604" s="3" t="s">
        <v>1354</v>
      </c>
      <c r="C2604" s="30">
        <f>C2601*C2603</f>
        <v>0.28911564625850339</v>
      </c>
    </row>
    <row r="2605" spans="2:9">
      <c r="B2605" s="3" t="s">
        <v>1356</v>
      </c>
      <c r="C2605" s="36">
        <v>41275</v>
      </c>
    </row>
    <row r="2606" spans="2:9">
      <c r="B2606" s="3" t="s">
        <v>1357</v>
      </c>
      <c r="C2606" s="36">
        <v>43101</v>
      </c>
    </row>
    <row r="2607" spans="2:9">
      <c r="B2607" s="3" t="s">
        <v>1358</v>
      </c>
      <c r="C2607" s="169">
        <f>DATEDIF(C2605,C2606,"m")</f>
        <v>60</v>
      </c>
    </row>
    <row r="2608" spans="2:9">
      <c r="B2608" s="3" t="s">
        <v>569</v>
      </c>
      <c r="C2608" s="170">
        <f>C2604^(1/C2607)</f>
        <v>0.97953026677280786</v>
      </c>
    </row>
    <row r="2609" spans="2:9">
      <c r="C2609" s="168"/>
    </row>
    <row r="2611" spans="2:9" ht="19.5" thickBot="1"/>
    <row r="2612" spans="2:9" ht="106.5" customHeight="1" thickBot="1">
      <c r="B2612" s="226" t="s">
        <v>1359</v>
      </c>
      <c r="C2612" s="227"/>
      <c r="D2612" s="227"/>
      <c r="E2612" s="227"/>
      <c r="F2612" s="227"/>
      <c r="G2612" s="227"/>
      <c r="H2612" s="227"/>
      <c r="I2612" s="228"/>
    </row>
    <row r="2614" spans="2:9">
      <c r="B2614" s="3"/>
      <c r="C2614" s="4" t="s">
        <v>4</v>
      </c>
      <c r="D2614" s="4" t="s">
        <v>5</v>
      </c>
    </row>
    <row r="2615" spans="2:9">
      <c r="B2615" s="3" t="s">
        <v>1063</v>
      </c>
      <c r="C2615" s="4">
        <v>4</v>
      </c>
      <c r="D2615" s="4">
        <v>5</v>
      </c>
    </row>
    <row r="2616" spans="2:9">
      <c r="B2616" s="3" t="s">
        <v>1023</v>
      </c>
      <c r="C2616" s="4">
        <v>9</v>
      </c>
      <c r="D2616" s="4">
        <v>9</v>
      </c>
    </row>
    <row r="2617" spans="2:9">
      <c r="B2617" s="3" t="s">
        <v>1349</v>
      </c>
      <c r="C2617" s="171">
        <f>1-EXP(-1.6*C2615/C2616)</f>
        <v>0.50890177049784491</v>
      </c>
      <c r="D2617" s="171">
        <f>1-EXP(-1.6*D2615/D2616)</f>
        <v>0.58888770949281255</v>
      </c>
    </row>
    <row r="2618" spans="2:9">
      <c r="B2618" s="3" t="s">
        <v>1360</v>
      </c>
      <c r="C2618" s="4">
        <f>1-C2617</f>
        <v>0.49109822950215509</v>
      </c>
      <c r="D2618" s="4">
        <f>1-D2617</f>
        <v>0.41111229050718745</v>
      </c>
    </row>
    <row r="2619" spans="2:9">
      <c r="B2619" s="3" t="s">
        <v>1361</v>
      </c>
      <c r="C2619" s="4"/>
      <c r="D2619" s="171">
        <f>C2618/D2618-1</f>
        <v>0.19455983399642296</v>
      </c>
    </row>
    <row r="2620" spans="2:9">
      <c r="B2620" s="3" t="s">
        <v>243</v>
      </c>
      <c r="C2620" s="4"/>
      <c r="D2620" s="4">
        <v>700000</v>
      </c>
    </row>
    <row r="2621" spans="2:9">
      <c r="B2621" s="3" t="s">
        <v>31</v>
      </c>
      <c r="C2621" s="4"/>
      <c r="D2621" s="109">
        <v>0.1</v>
      </c>
    </row>
    <row r="2622" spans="2:9">
      <c r="B2622" s="3" t="s">
        <v>244</v>
      </c>
      <c r="C2622" s="4"/>
      <c r="D2622" s="4">
        <f>D2620*(1-D2621)</f>
        <v>630000</v>
      </c>
    </row>
    <row r="2623" spans="2:9">
      <c r="B2623" s="3" t="s">
        <v>1362</v>
      </c>
      <c r="C2623" s="4"/>
      <c r="D2623" s="172">
        <f>D2622*D2619</f>
        <v>122572.69541774646</v>
      </c>
    </row>
    <row r="2625" spans="2:9" ht="19.5" thickBot="1"/>
    <row r="2626" spans="2:9" ht="38.25" customHeight="1" thickBot="1">
      <c r="B2626" s="226" t="s">
        <v>1641</v>
      </c>
      <c r="C2626" s="227"/>
      <c r="D2626" s="227"/>
      <c r="E2626" s="227"/>
      <c r="F2626" s="227"/>
      <c r="G2626" s="227"/>
      <c r="H2626" s="227"/>
      <c r="I2626" s="228"/>
    </row>
    <row r="2628" spans="2:9">
      <c r="B2628" s="3" t="s">
        <v>1642</v>
      </c>
      <c r="C2628" s="10">
        <v>90000</v>
      </c>
    </row>
    <row r="2629" spans="2:9">
      <c r="B2629" s="3" t="s">
        <v>200</v>
      </c>
      <c r="C2629" s="3">
        <v>70</v>
      </c>
    </row>
    <row r="2630" spans="2:9">
      <c r="B2630" s="3" t="s">
        <v>1643</v>
      </c>
      <c r="C2630" s="3">
        <v>70000</v>
      </c>
    </row>
    <row r="2631" spans="2:9">
      <c r="B2631" s="3" t="s">
        <v>200</v>
      </c>
      <c r="C2631" s="3">
        <v>40</v>
      </c>
    </row>
    <row r="2632" spans="2:9">
      <c r="B2632" s="3" t="s">
        <v>118</v>
      </c>
      <c r="C2632" s="3">
        <v>0.28000000000000003</v>
      </c>
    </row>
    <row r="2633" spans="2:9">
      <c r="B2633" s="3" t="s">
        <v>7</v>
      </c>
      <c r="C2633" s="3"/>
    </row>
    <row r="2634" spans="2:9">
      <c r="B2634" s="3" t="s">
        <v>1644</v>
      </c>
      <c r="C2634" s="10">
        <f>C2630*(C2629/C2631)^C2632</f>
        <v>81874.506190100292</v>
      </c>
      <c r="D2634" s="24" t="s">
        <v>1645</v>
      </c>
    </row>
    <row r="2644" spans="2:9" ht="19.5" thickBot="1"/>
    <row r="2645" spans="2:9" ht="127.5" customHeight="1" thickBot="1">
      <c r="B2645" s="226" t="s">
        <v>1363</v>
      </c>
      <c r="C2645" s="227"/>
      <c r="D2645" s="227"/>
      <c r="E2645" s="227"/>
      <c r="F2645" s="227"/>
      <c r="G2645" s="227"/>
      <c r="H2645" s="227"/>
      <c r="I2645" s="228"/>
    </row>
    <row r="2646" spans="2:9" ht="19.5" thickBot="1"/>
    <row r="2647" spans="2:9">
      <c r="B2647" s="57"/>
      <c r="C2647" s="58" t="s">
        <v>522</v>
      </c>
      <c r="D2647" s="58" t="s">
        <v>1329</v>
      </c>
      <c r="E2647" s="59" t="s">
        <v>521</v>
      </c>
    </row>
    <row r="2648" spans="2:9">
      <c r="B2648" s="60" t="s">
        <v>523</v>
      </c>
      <c r="C2648" s="5">
        <v>2</v>
      </c>
      <c r="D2648" s="5">
        <v>5</v>
      </c>
      <c r="E2648" s="66">
        <v>0</v>
      </c>
    </row>
    <row r="2649" spans="2:9">
      <c r="B2649" s="60" t="s">
        <v>524</v>
      </c>
      <c r="C2649" s="22">
        <v>0.6</v>
      </c>
      <c r="D2649" s="22">
        <v>0</v>
      </c>
      <c r="E2649" s="61"/>
    </row>
    <row r="2650" spans="2:9">
      <c r="B2650" s="60" t="s">
        <v>525</v>
      </c>
      <c r="C2650" s="5">
        <v>5</v>
      </c>
      <c r="D2650" s="5">
        <v>0</v>
      </c>
      <c r="E2650" s="61"/>
    </row>
    <row r="2651" spans="2:9">
      <c r="B2651" s="60" t="s">
        <v>1330</v>
      </c>
      <c r="C2651" s="165"/>
      <c r="D2651" s="165">
        <v>-1</v>
      </c>
      <c r="E2651" s="61"/>
    </row>
    <row r="2652" spans="2:9">
      <c r="B2652" s="60" t="s">
        <v>527</v>
      </c>
      <c r="C2652" s="53">
        <f>C2650+C2651</f>
        <v>5</v>
      </c>
      <c r="D2652" s="5">
        <v>0</v>
      </c>
      <c r="E2652" s="66">
        <v>4</v>
      </c>
    </row>
    <row r="2653" spans="2:9">
      <c r="B2653" s="60" t="s">
        <v>528</v>
      </c>
      <c r="C2653" s="5"/>
      <c r="D2653" s="5"/>
      <c r="E2653" s="66">
        <v>7</v>
      </c>
    </row>
    <row r="2654" spans="2:9">
      <c r="B2654" s="60" t="s">
        <v>265</v>
      </c>
      <c r="C2654" s="54">
        <f>1/(C2649/C2650)</f>
        <v>8.3333333333333339</v>
      </c>
      <c r="D2654" s="143">
        <v>7</v>
      </c>
      <c r="E2654" s="67">
        <f>E2652+E2653</f>
        <v>11</v>
      </c>
    </row>
    <row r="2655" spans="2:9">
      <c r="B2655" s="60" t="s">
        <v>530</v>
      </c>
      <c r="C2655" s="5">
        <v>1</v>
      </c>
      <c r="D2655" s="102">
        <f>1/1.2</f>
        <v>0.83333333333333337</v>
      </c>
      <c r="E2655" s="66">
        <v>1</v>
      </c>
      <c r="F2655" s="24" t="s">
        <v>1334</v>
      </c>
    </row>
    <row r="2656" spans="2:9">
      <c r="B2656" s="60" t="s">
        <v>529</v>
      </c>
      <c r="C2656" s="4">
        <v>200000</v>
      </c>
      <c r="D2656" s="54">
        <f>400000*1.18</f>
        <v>472000</v>
      </c>
      <c r="E2656" s="61">
        <v>300000</v>
      </c>
      <c r="F2656" s="24" t="s">
        <v>1332</v>
      </c>
    </row>
    <row r="2657" spans="2:8">
      <c r="B2657" s="60" t="s">
        <v>532</v>
      </c>
      <c r="C2657" s="166">
        <v>-0.1</v>
      </c>
      <c r="D2657" s="166">
        <v>-0.1</v>
      </c>
      <c r="E2657" s="167">
        <v>-0.1</v>
      </c>
      <c r="F2657" s="24" t="s">
        <v>1331</v>
      </c>
    </row>
    <row r="2658" spans="2:8">
      <c r="B2658" s="60" t="s">
        <v>533</v>
      </c>
      <c r="C2658" s="21">
        <f>C2652/C2654</f>
        <v>0.6</v>
      </c>
      <c r="D2658" s="21">
        <f>D2652/D2654</f>
        <v>0</v>
      </c>
      <c r="E2658" s="62">
        <f>E2652/E2654</f>
        <v>0.36363636363636365</v>
      </c>
      <c r="F2658" s="24" t="s">
        <v>511</v>
      </c>
    </row>
    <row r="2659" spans="2:8">
      <c r="B2659" s="60" t="s">
        <v>534</v>
      </c>
      <c r="C2659" s="4">
        <f>C2656/(1-C2649)</f>
        <v>500000</v>
      </c>
      <c r="D2659" s="4">
        <f>D2656/(1-D2649)</f>
        <v>472000</v>
      </c>
      <c r="E2659" s="61">
        <f>E2656/(1-E2652/E2654)</f>
        <v>471428.57142857142</v>
      </c>
      <c r="F2659" s="24" t="s">
        <v>905</v>
      </c>
    </row>
    <row r="2660" spans="2:8">
      <c r="B2660" s="60" t="s">
        <v>541</v>
      </c>
      <c r="C2660" s="54">
        <f>C2659*(1+C2657)^C2648</f>
        <v>405000</v>
      </c>
      <c r="D2660" s="54">
        <f>D2659*(1+D2657)^D2648</f>
        <v>278711.28000000009</v>
      </c>
      <c r="E2660" s="69">
        <f>E2659*(1+E2657)^E2648</f>
        <v>471428.57142857142</v>
      </c>
      <c r="F2660" s="2">
        <f>SUM(C2660:E2660)</f>
        <v>1155139.8514285714</v>
      </c>
      <c r="G2660" s="24" t="s">
        <v>548</v>
      </c>
    </row>
    <row r="2661" spans="2:8">
      <c r="B2661" s="60" t="s">
        <v>536</v>
      </c>
      <c r="C2661" s="4">
        <f>C2660/1.18</f>
        <v>343220.33898305084</v>
      </c>
      <c r="D2661" s="4">
        <f t="shared" ref="D2661:E2661" si="36">D2660/1.18</f>
        <v>236196.00000000009</v>
      </c>
      <c r="E2661" s="61">
        <f t="shared" si="36"/>
        <v>399515.73849878937</v>
      </c>
      <c r="F2661" s="24" t="s">
        <v>537</v>
      </c>
      <c r="G2661" s="24"/>
    </row>
    <row r="2662" spans="2:8">
      <c r="B2662" s="60" t="s">
        <v>538</v>
      </c>
      <c r="C2662" s="4">
        <f>(C2648+C2652)*C2655</f>
        <v>7</v>
      </c>
      <c r="D2662" s="4">
        <f>(D2648+D2651)*D2655</f>
        <v>3.3333333333333335</v>
      </c>
      <c r="E2662" s="61">
        <f>(E2648+E2652)*E2655</f>
        <v>4</v>
      </c>
      <c r="F2662" s="24" t="s">
        <v>539</v>
      </c>
    </row>
    <row r="2663" spans="2:8">
      <c r="B2663" s="60" t="s">
        <v>371</v>
      </c>
      <c r="C2663" s="21">
        <f>C2662/C2654</f>
        <v>0.84</v>
      </c>
      <c r="D2663" s="21">
        <f>D2662/D2654</f>
        <v>0.47619047619047622</v>
      </c>
      <c r="E2663" s="62">
        <f>E2662/E2654</f>
        <v>0.36363636363636365</v>
      </c>
      <c r="F2663" s="24" t="s">
        <v>555</v>
      </c>
    </row>
    <row r="2664" spans="2:8">
      <c r="B2664" s="60" t="s">
        <v>540</v>
      </c>
      <c r="C2664" s="4">
        <f>C2660*C2663</f>
        <v>340200</v>
      </c>
      <c r="D2664" s="4">
        <f>D2660*D2663</f>
        <v>132719.65714285721</v>
      </c>
      <c r="E2664" s="61">
        <f>E2660*E2663</f>
        <v>171428.57142857142</v>
      </c>
      <c r="F2664" s="2">
        <f>SUM(C2664:E2664)</f>
        <v>644348.22857142868</v>
      </c>
      <c r="G2664" s="74">
        <f>F2664/F2660</f>
        <v>0.55780971262878487</v>
      </c>
    </row>
    <row r="2665" spans="2:8">
      <c r="B2665" s="60" t="s">
        <v>542</v>
      </c>
      <c r="C2665" s="4">
        <f>C2660-C2664</f>
        <v>64800</v>
      </c>
      <c r="D2665" s="4">
        <f>D2660-D2664</f>
        <v>145991.62285714288</v>
      </c>
      <c r="E2665" s="61">
        <f>E2660-E2664</f>
        <v>300000</v>
      </c>
      <c r="F2665" s="2">
        <f>SUM(C2665:E2665)</f>
        <v>510791.62285714288</v>
      </c>
    </row>
    <row r="2666" spans="2:8">
      <c r="B2666" s="60" t="s">
        <v>543</v>
      </c>
      <c r="C2666" s="56">
        <f>C2665/F2665</f>
        <v>0.1268619082621939</v>
      </c>
      <c r="D2666" s="56">
        <f>D2665/F2665</f>
        <v>0.28581444237579734</v>
      </c>
      <c r="E2666" s="70">
        <f>E2665/F2665</f>
        <v>0.58732364936200876</v>
      </c>
    </row>
    <row r="2667" spans="2:8">
      <c r="B2667" s="60" t="s">
        <v>544</v>
      </c>
      <c r="C2667" s="21">
        <f>1/C2654</f>
        <v>0.12</v>
      </c>
      <c r="D2667" s="21">
        <f>1/D2654</f>
        <v>0.14285714285714285</v>
      </c>
      <c r="E2667" s="62">
        <f>1/E2654</f>
        <v>9.0909090909090912E-2</v>
      </c>
      <c r="F2667" s="24" t="s">
        <v>545</v>
      </c>
    </row>
    <row r="2668" spans="2:8" ht="19.5" thickBot="1">
      <c r="B2668" s="63" t="s">
        <v>546</v>
      </c>
      <c r="C2668" s="71">
        <f>C2660*C2667</f>
        <v>48600</v>
      </c>
      <c r="D2668" s="71">
        <f>D2660*D2667</f>
        <v>39815.897142857153</v>
      </c>
      <c r="E2668" s="72">
        <f>E2660*E2667</f>
        <v>42857.142857142855</v>
      </c>
      <c r="F2668" s="2">
        <f>SUM(C2668:E2668)</f>
        <v>131273.04</v>
      </c>
      <c r="G2668" s="74">
        <f>F2668/F2660</f>
        <v>0.11364255145180344</v>
      </c>
      <c r="H2668" s="24" t="s">
        <v>547</v>
      </c>
    </row>
    <row r="2669" spans="2:8">
      <c r="B2669" s="57" t="s">
        <v>1333</v>
      </c>
      <c r="C2669" s="58">
        <f>C2660/(1+C2657)</f>
        <v>450000</v>
      </c>
      <c r="D2669" s="58">
        <f t="shared" ref="D2669:E2669" si="37">D2660/(1+D2657)</f>
        <v>309679.20000000007</v>
      </c>
      <c r="E2669" s="59">
        <f t="shared" si="37"/>
        <v>523809.52380952379</v>
      </c>
      <c r="F2669" s="2">
        <f>SUM(C2669:E2669)</f>
        <v>1283488.723809524</v>
      </c>
      <c r="G2669" s="24"/>
      <c r="H2669" s="24" t="s">
        <v>549</v>
      </c>
    </row>
    <row r="2670" spans="2:8">
      <c r="B2670" s="60" t="s">
        <v>583</v>
      </c>
      <c r="C2670" s="4">
        <f>C2662-C2655</f>
        <v>6</v>
      </c>
      <c r="D2670" s="4">
        <f>D2662-D2655</f>
        <v>2.5</v>
      </c>
      <c r="E2670" s="61">
        <f>E2662-E2655</f>
        <v>3</v>
      </c>
    </row>
    <row r="2671" spans="2:8">
      <c r="B2671" s="60" t="s">
        <v>584</v>
      </c>
      <c r="C2671" s="21">
        <f>C2670/C2654</f>
        <v>0.72</v>
      </c>
      <c r="D2671" s="21">
        <f>D2670/D2654</f>
        <v>0.35714285714285715</v>
      </c>
      <c r="E2671" s="62">
        <f>E2670/E2654</f>
        <v>0.27272727272727271</v>
      </c>
    </row>
    <row r="2672" spans="2:8">
      <c r="B2672" s="60" t="s">
        <v>584</v>
      </c>
      <c r="C2672" s="4">
        <f>C2669*C2671</f>
        <v>324000</v>
      </c>
      <c r="D2672" s="4">
        <f t="shared" ref="D2672:E2672" si="38">D2669*D2671</f>
        <v>110599.71428571432</v>
      </c>
      <c r="E2672" s="61">
        <f t="shared" si="38"/>
        <v>142857.14285714284</v>
      </c>
      <c r="F2672" s="2">
        <f>SUM(C2672:E2672)</f>
        <v>577456.85714285716</v>
      </c>
      <c r="G2672" s="73">
        <f>F2672/F2669</f>
        <v>0.44991190528648117</v>
      </c>
      <c r="H2672" s="24" t="s">
        <v>554</v>
      </c>
    </row>
    <row r="2673" spans="2:9">
      <c r="B2673" s="60" t="s">
        <v>543</v>
      </c>
      <c r="C2673" s="4">
        <f>C2669/F2669</f>
        <v>0.35060689794325162</v>
      </c>
      <c r="D2673" s="4">
        <f>D2669/F2669</f>
        <v>0.24127925259899516</v>
      </c>
      <c r="E2673" s="61">
        <f>E2669/F2669</f>
        <v>0.40811384945775314</v>
      </c>
      <c r="F2673" s="2"/>
      <c r="G2673" s="51"/>
      <c r="H2673" s="24"/>
    </row>
    <row r="2674" spans="2:9" ht="19.5" thickBot="1">
      <c r="B2674" s="63" t="s">
        <v>584</v>
      </c>
      <c r="C2674" s="64">
        <f>C2671*C2673</f>
        <v>0.25243696651914116</v>
      </c>
      <c r="D2674" s="64">
        <f t="shared" ref="D2674:E2674" si="39">D2671*D2673</f>
        <v>8.6171161642498273E-2</v>
      </c>
      <c r="E2674" s="65">
        <f t="shared" si="39"/>
        <v>0.11130377712484175</v>
      </c>
      <c r="F2674" s="77">
        <f>SUM(C2674:E2674)</f>
        <v>0.44991190528648117</v>
      </c>
      <c r="G2674" s="24" t="s">
        <v>1364</v>
      </c>
      <c r="H2674" s="24"/>
    </row>
    <row r="2676" spans="2:9" ht="19.5" thickBot="1"/>
    <row r="2677" spans="2:9" ht="41.25" customHeight="1" thickBot="1">
      <c r="B2677" s="226" t="s">
        <v>1444</v>
      </c>
      <c r="C2677" s="227"/>
      <c r="D2677" s="227"/>
      <c r="E2677" s="227"/>
      <c r="F2677" s="227"/>
      <c r="G2677" s="227"/>
      <c r="H2677" s="227"/>
      <c r="I2677" s="228"/>
    </row>
    <row r="2679" spans="2:9">
      <c r="B2679" s="3" t="s">
        <v>129</v>
      </c>
      <c r="C2679" s="3">
        <v>500000</v>
      </c>
    </row>
    <row r="2680" spans="2:9">
      <c r="B2680" s="3" t="s">
        <v>233</v>
      </c>
      <c r="C2680" s="3">
        <v>50000</v>
      </c>
    </row>
    <row r="2681" spans="2:9">
      <c r="B2681" s="3" t="s">
        <v>1445</v>
      </c>
      <c r="C2681" s="3">
        <v>20000</v>
      </c>
    </row>
    <row r="2682" spans="2:9">
      <c r="B2682" s="3" t="s">
        <v>1446</v>
      </c>
      <c r="C2682" s="3">
        <v>10000</v>
      </c>
    </row>
    <row r="2683" spans="2:9">
      <c r="B2683" s="3" t="s">
        <v>1447</v>
      </c>
      <c r="C2683" s="3">
        <v>30000</v>
      </c>
    </row>
    <row r="2684" spans="2:9">
      <c r="B2684" s="6" t="s">
        <v>7</v>
      </c>
      <c r="C2684" s="3"/>
    </row>
    <row r="2685" spans="2:9">
      <c r="B2685" s="3" t="s">
        <v>23</v>
      </c>
      <c r="C2685" s="15">
        <f>C2679+C2680+C2681+C2682</f>
        <v>580000</v>
      </c>
    </row>
    <row r="2687" spans="2:9" ht="19.5" thickBot="1"/>
    <row r="2688" spans="2:9" ht="97.5" customHeight="1" thickBot="1">
      <c r="B2688" s="226" t="s">
        <v>1448</v>
      </c>
      <c r="C2688" s="227"/>
      <c r="D2688" s="227"/>
      <c r="E2688" s="227"/>
      <c r="F2688" s="227"/>
      <c r="G2688" s="227"/>
      <c r="H2688" s="227"/>
      <c r="I2688" s="228"/>
    </row>
    <row r="2690" spans="2:9">
      <c r="B2690" s="3" t="s">
        <v>1449</v>
      </c>
      <c r="C2690" s="3">
        <v>550000</v>
      </c>
    </row>
    <row r="2691" spans="2:9">
      <c r="B2691" s="3" t="s">
        <v>233</v>
      </c>
      <c r="C2691" s="3">
        <v>50000</v>
      </c>
    </row>
    <row r="2692" spans="2:9">
      <c r="B2692" s="3" t="s">
        <v>308</v>
      </c>
      <c r="C2692" s="3">
        <v>30000</v>
      </c>
    </row>
    <row r="2693" spans="2:9">
      <c r="B2693" s="3" t="s">
        <v>1450</v>
      </c>
      <c r="C2693" s="3">
        <v>10000</v>
      </c>
    </row>
    <row r="2694" spans="2:9">
      <c r="B2694" s="3" t="s">
        <v>1447</v>
      </c>
      <c r="C2694" s="3">
        <v>20000</v>
      </c>
    </row>
    <row r="2695" spans="2:9">
      <c r="B2695" s="3" t="s">
        <v>7</v>
      </c>
      <c r="C2695" s="3"/>
    </row>
    <row r="2696" spans="2:9">
      <c r="B2696" s="3" t="s">
        <v>23</v>
      </c>
      <c r="C2696" s="15">
        <f>C2690+C2691+C2692+C2693</f>
        <v>640000</v>
      </c>
    </row>
    <row r="2698" spans="2:9" ht="19.5" thickBot="1"/>
    <row r="2699" spans="2:9" ht="342.75" customHeight="1" thickBot="1">
      <c r="B2699" s="226" t="s">
        <v>1503</v>
      </c>
      <c r="C2699" s="227"/>
      <c r="D2699" s="227"/>
      <c r="E2699" s="227"/>
      <c r="F2699" s="227"/>
      <c r="G2699" s="227"/>
      <c r="H2699" s="227"/>
      <c r="I2699" s="228"/>
    </row>
    <row r="2701" spans="2:9" ht="75">
      <c r="B2701" s="207" t="s">
        <v>621</v>
      </c>
      <c r="C2701" s="207" t="s">
        <v>1469</v>
      </c>
      <c r="D2701" s="207" t="s">
        <v>1471</v>
      </c>
      <c r="E2701" s="207" t="s">
        <v>1470</v>
      </c>
      <c r="F2701" s="207" t="s">
        <v>1472</v>
      </c>
    </row>
    <row r="2702" spans="2:9">
      <c r="B2702" s="36">
        <v>39994</v>
      </c>
      <c r="C2702" s="4">
        <v>37</v>
      </c>
      <c r="D2702" s="4">
        <v>2.4</v>
      </c>
      <c r="E2702" s="4">
        <v>60</v>
      </c>
      <c r="F2702" s="4">
        <v>75</v>
      </c>
      <c r="G2702" s="24" t="s">
        <v>1477</v>
      </c>
    </row>
    <row r="2703" spans="2:9">
      <c r="B2703" s="36">
        <v>40024</v>
      </c>
      <c r="C2703" s="4">
        <v>38</v>
      </c>
      <c r="D2703" s="4">
        <v>2.5</v>
      </c>
      <c r="E2703" s="4">
        <v>61</v>
      </c>
      <c r="F2703" s="4">
        <v>76</v>
      </c>
    </row>
    <row r="2704" spans="2:9">
      <c r="B2704" s="36">
        <v>40055</v>
      </c>
      <c r="C2704" s="4">
        <v>39</v>
      </c>
      <c r="D2704" s="4">
        <v>2.5499999999999998</v>
      </c>
      <c r="E2704" s="4">
        <v>62</v>
      </c>
      <c r="F2704" s="4">
        <v>77</v>
      </c>
      <c r="G2704" s="24" t="s">
        <v>1476</v>
      </c>
    </row>
    <row r="2705" spans="2:7">
      <c r="B2705" s="36">
        <v>40177</v>
      </c>
      <c r="C2705" s="4">
        <v>40</v>
      </c>
      <c r="D2705" s="4">
        <v>2.6</v>
      </c>
      <c r="E2705" s="4">
        <v>88</v>
      </c>
      <c r="F2705" s="4">
        <v>78</v>
      </c>
      <c r="G2705" s="24" t="s">
        <v>1475</v>
      </c>
    </row>
    <row r="2706" spans="2:7">
      <c r="B2706" s="36">
        <v>41275</v>
      </c>
      <c r="C2706" s="4">
        <v>56</v>
      </c>
      <c r="D2706" s="4">
        <v>2.7</v>
      </c>
      <c r="E2706" s="4">
        <v>90</v>
      </c>
      <c r="F2706" s="4">
        <v>79</v>
      </c>
    </row>
    <row r="2707" spans="2:7">
      <c r="B2707" s="36">
        <v>41640</v>
      </c>
      <c r="C2707" s="4">
        <v>60</v>
      </c>
      <c r="D2707" s="4">
        <v>2.8</v>
      </c>
      <c r="E2707" s="4">
        <v>91</v>
      </c>
      <c r="F2707" s="4">
        <v>80</v>
      </c>
    </row>
    <row r="2708" spans="2:7">
      <c r="B2708" s="36">
        <v>42005</v>
      </c>
      <c r="C2708" s="4">
        <v>60</v>
      </c>
      <c r="D2708" s="4">
        <v>2.85</v>
      </c>
      <c r="E2708" s="4">
        <v>95</v>
      </c>
      <c r="F2708" s="4">
        <v>96</v>
      </c>
      <c r="G2708" s="24" t="s">
        <v>1474</v>
      </c>
    </row>
    <row r="2709" spans="2:7">
      <c r="B2709" s="36">
        <v>42370</v>
      </c>
      <c r="C2709" s="4">
        <v>60</v>
      </c>
      <c r="D2709" s="4">
        <v>2.9</v>
      </c>
      <c r="E2709" s="4">
        <v>99</v>
      </c>
      <c r="F2709" s="4">
        <v>98</v>
      </c>
    </row>
    <row r="2710" spans="2:7">
      <c r="B2710" s="36">
        <v>42736</v>
      </c>
      <c r="C2710" s="4">
        <v>65</v>
      </c>
      <c r="D2710" s="4">
        <v>3</v>
      </c>
      <c r="E2710" s="4">
        <v>115</v>
      </c>
      <c r="F2710" s="4">
        <v>102</v>
      </c>
      <c r="G2710" s="24" t="s">
        <v>83</v>
      </c>
    </row>
    <row r="2711" spans="2:7">
      <c r="B2711" s="36">
        <v>43101</v>
      </c>
      <c r="C2711" s="4">
        <v>70</v>
      </c>
      <c r="D2711" s="4">
        <v>3.2</v>
      </c>
      <c r="E2711" s="4">
        <v>116</v>
      </c>
      <c r="F2711" s="4">
        <v>105</v>
      </c>
    </row>
    <row r="2713" spans="2:7">
      <c r="B2713" s="3" t="s">
        <v>1451</v>
      </c>
      <c r="C2713" s="3">
        <v>729600000</v>
      </c>
    </row>
    <row r="2714" spans="2:7">
      <c r="B2714" s="3" t="s">
        <v>1452</v>
      </c>
      <c r="C2714" s="3">
        <v>85200000</v>
      </c>
    </row>
    <row r="2715" spans="2:7">
      <c r="B2715" s="3" t="s">
        <v>1460</v>
      </c>
      <c r="C2715" s="3">
        <v>7</v>
      </c>
      <c r="D2715" s="24" t="s">
        <v>1466</v>
      </c>
    </row>
    <row r="2716" spans="2:7">
      <c r="B2716" s="3" t="s">
        <v>1461</v>
      </c>
      <c r="C2716" s="3">
        <v>5</v>
      </c>
      <c r="D2716" s="24" t="s">
        <v>1462</v>
      </c>
    </row>
    <row r="2717" spans="2:7">
      <c r="B2717" s="3" t="s">
        <v>6</v>
      </c>
      <c r="C2717" s="3">
        <v>17</v>
      </c>
    </row>
    <row r="2718" spans="2:7">
      <c r="B2718" s="3" t="s">
        <v>1453</v>
      </c>
      <c r="C2718" s="3">
        <v>299000000</v>
      </c>
      <c r="D2718" s="24" t="s">
        <v>1463</v>
      </c>
    </row>
    <row r="2719" spans="2:7">
      <c r="B2719" s="3" t="s">
        <v>1454</v>
      </c>
      <c r="C2719" s="3">
        <v>115000000</v>
      </c>
      <c r="D2719" s="24" t="s">
        <v>1464</v>
      </c>
    </row>
    <row r="2720" spans="2:7">
      <c r="B2720" s="3" t="s">
        <v>1455</v>
      </c>
      <c r="C2720" s="3">
        <v>265000000</v>
      </c>
      <c r="D2720" s="24" t="s">
        <v>1465</v>
      </c>
    </row>
    <row r="2721" spans="2:6">
      <c r="B2721" s="3" t="s">
        <v>1456</v>
      </c>
      <c r="C2721" s="9">
        <v>0.25</v>
      </c>
      <c r="D2721" s="24" t="s">
        <v>1473</v>
      </c>
    </row>
    <row r="2722" spans="2:6">
      <c r="B2722" s="3" t="s">
        <v>1457</v>
      </c>
      <c r="C2722" s="9">
        <v>0.15</v>
      </c>
      <c r="D2722" s="24" t="s">
        <v>1473</v>
      </c>
    </row>
    <row r="2723" spans="2:6">
      <c r="B2723" s="3" t="s">
        <v>1458</v>
      </c>
      <c r="C2723" s="3">
        <v>2</v>
      </c>
    </row>
    <row r="2724" spans="2:6">
      <c r="B2724" s="3" t="s">
        <v>1459</v>
      </c>
      <c r="C2724" s="3">
        <v>9</v>
      </c>
    </row>
    <row r="2725" spans="2:6">
      <c r="B2725" s="3" t="s">
        <v>1467</v>
      </c>
      <c r="C2725" s="9">
        <v>0.2</v>
      </c>
      <c r="D2725" s="24" t="s">
        <v>1468</v>
      </c>
    </row>
    <row r="2726" spans="2:6">
      <c r="B2726" s="16" t="s">
        <v>7</v>
      </c>
    </row>
    <row r="2727" spans="2:6" ht="37.5">
      <c r="B2727" s="207" t="s">
        <v>1393</v>
      </c>
      <c r="C2727" s="207" t="s">
        <v>1453</v>
      </c>
      <c r="D2727" s="207" t="s">
        <v>1454</v>
      </c>
      <c r="E2727" s="207" t="s">
        <v>1455</v>
      </c>
    </row>
    <row r="2728" spans="2:6">
      <c r="B2728" s="3" t="s">
        <v>621</v>
      </c>
      <c r="C2728" s="36">
        <v>39994</v>
      </c>
      <c r="D2728" s="36">
        <v>40055</v>
      </c>
      <c r="E2728" s="36">
        <v>40177</v>
      </c>
    </row>
    <row r="2729" spans="2:6">
      <c r="B2729" s="3" t="s">
        <v>1484</v>
      </c>
      <c r="C2729" s="3">
        <v>299000000</v>
      </c>
      <c r="D2729" s="3">
        <v>115000000</v>
      </c>
      <c r="E2729" s="3">
        <v>265000000</v>
      </c>
      <c r="F2729" s="24" t="s">
        <v>1502</v>
      </c>
    </row>
    <row r="2730" spans="2:6">
      <c r="B2730" s="3" t="s">
        <v>1483</v>
      </c>
      <c r="C2730" s="3">
        <v>37</v>
      </c>
      <c r="D2730" s="3"/>
      <c r="E2730" s="3">
        <v>40</v>
      </c>
    </row>
    <row r="2731" spans="2:6">
      <c r="B2731" s="3" t="s">
        <v>1478</v>
      </c>
      <c r="C2731" s="3">
        <f>C2729/C2730</f>
        <v>8081081.0810810812</v>
      </c>
      <c r="D2731" s="3"/>
      <c r="E2731" s="3">
        <f>E2729/E2730</f>
        <v>6625000</v>
      </c>
    </row>
    <row r="2732" spans="2:6">
      <c r="B2732" s="3" t="s">
        <v>1456</v>
      </c>
      <c r="C2732" s="9">
        <v>0.25</v>
      </c>
      <c r="D2732" s="3"/>
      <c r="E2732" s="9">
        <v>0.25</v>
      </c>
    </row>
    <row r="2733" spans="2:6">
      <c r="B2733" s="3" t="s">
        <v>1479</v>
      </c>
      <c r="C2733" s="3">
        <f>C2731/(1+C2732)</f>
        <v>6464864.8648648653</v>
      </c>
      <c r="D2733" s="3"/>
      <c r="E2733" s="3">
        <f>E2731/(1+E2732)</f>
        <v>5300000</v>
      </c>
    </row>
    <row r="2734" spans="2:6">
      <c r="B2734" s="3" t="s">
        <v>1480</v>
      </c>
      <c r="C2734" s="3">
        <f>D2702</f>
        <v>2.4</v>
      </c>
      <c r="D2734" s="3">
        <f>F2704</f>
        <v>77</v>
      </c>
      <c r="E2734" s="3">
        <f>D2705</f>
        <v>2.6</v>
      </c>
    </row>
    <row r="2735" spans="2:6">
      <c r="B2735" s="3" t="s">
        <v>471</v>
      </c>
      <c r="C2735" s="3">
        <f>D2710</f>
        <v>3</v>
      </c>
      <c r="D2735" s="3">
        <f>F2710</f>
        <v>102</v>
      </c>
      <c r="E2735" s="3">
        <f>D2710</f>
        <v>3</v>
      </c>
    </row>
    <row r="2736" spans="2:6">
      <c r="B2736" s="3" t="s">
        <v>1481</v>
      </c>
      <c r="C2736" s="3">
        <f>C2733/C2734*C2735</f>
        <v>8081081.081081083</v>
      </c>
      <c r="D2736" s="3"/>
      <c r="E2736" s="3">
        <f>E2733/E2734*E2735</f>
        <v>6115384.615384616</v>
      </c>
    </row>
    <row r="2737" spans="2:5">
      <c r="B2737" s="3" t="s">
        <v>1457</v>
      </c>
      <c r="C2737" s="9">
        <v>0.15</v>
      </c>
      <c r="D2737" s="3"/>
      <c r="E2737" s="9">
        <v>0.15</v>
      </c>
    </row>
    <row r="2738" spans="2:5">
      <c r="B2738" s="3" t="s">
        <v>1482</v>
      </c>
      <c r="C2738" s="3">
        <f>C2736*(1+C2737)</f>
        <v>9293243.2432432454</v>
      </c>
      <c r="D2738" s="3"/>
      <c r="E2738" s="3">
        <f>E2736*(1+E2737)</f>
        <v>7032692.307692308</v>
      </c>
    </row>
    <row r="2739" spans="2:5">
      <c r="B2739" s="3" t="s">
        <v>1485</v>
      </c>
      <c r="C2739" s="3">
        <f>C2710</f>
        <v>65</v>
      </c>
      <c r="D2739" s="3"/>
      <c r="E2739" s="3">
        <f>C2710</f>
        <v>65</v>
      </c>
    </row>
    <row r="2740" spans="2:5">
      <c r="B2740" s="3" t="s">
        <v>1486</v>
      </c>
      <c r="C2740" s="3">
        <f>C2738*C2739</f>
        <v>604060810.81081092</v>
      </c>
      <c r="D2740" s="3">
        <f>D2729/D2734*D2735</f>
        <v>152337662.33766234</v>
      </c>
      <c r="E2740" s="3">
        <f>E2738*E2739</f>
        <v>457125000</v>
      </c>
    </row>
    <row r="2741" spans="2:5">
      <c r="B2741" s="1" t="s">
        <v>1499</v>
      </c>
      <c r="C2741" s="2">
        <f>C2740+D2740+E2740</f>
        <v>1213523473.1484733</v>
      </c>
    </row>
    <row r="2743" spans="2:5">
      <c r="B2743" s="2" t="s">
        <v>1493</v>
      </c>
    </row>
    <row r="2744" spans="2:5">
      <c r="B2744" s="3" t="s">
        <v>1453</v>
      </c>
      <c r="C2744" s="3">
        <v>299000000</v>
      </c>
    </row>
    <row r="2745" spans="2:5">
      <c r="B2745" s="3" t="s">
        <v>1454</v>
      </c>
      <c r="C2745" s="3">
        <v>115000000</v>
      </c>
    </row>
    <row r="2746" spans="2:5">
      <c r="B2746" s="3" t="s">
        <v>1455</v>
      </c>
      <c r="C2746" s="3">
        <v>265000000</v>
      </c>
    </row>
    <row r="2747" spans="2:5">
      <c r="B2747" s="3" t="s">
        <v>1487</v>
      </c>
      <c r="C2747" s="3">
        <f>C2744+C2745+C2746</f>
        <v>679000000</v>
      </c>
    </row>
    <row r="2748" spans="2:5">
      <c r="B2748" s="3" t="s">
        <v>1467</v>
      </c>
      <c r="C2748" s="9">
        <v>0.2</v>
      </c>
    </row>
    <row r="2749" spans="2:5">
      <c r="B2749" s="3" t="s">
        <v>1488</v>
      </c>
      <c r="C2749" s="3">
        <f>C2747*(1+C2748)</f>
        <v>814800000</v>
      </c>
    </row>
    <row r="2750" spans="2:5">
      <c r="B2750" s="3" t="s">
        <v>1489</v>
      </c>
      <c r="C2750" s="3">
        <f>C2749-C2747</f>
        <v>135800000</v>
      </c>
      <c r="D2750" s="24" t="s">
        <v>1490</v>
      </c>
    </row>
    <row r="2751" spans="2:5">
      <c r="B2751" s="3" t="s">
        <v>1491</v>
      </c>
      <c r="C2751" s="3">
        <f>E2708</f>
        <v>95</v>
      </c>
    </row>
    <row r="2752" spans="2:5">
      <c r="B2752" s="3" t="s">
        <v>471</v>
      </c>
      <c r="C2752" s="3">
        <f>E2710</f>
        <v>115</v>
      </c>
    </row>
    <row r="2753" spans="2:9">
      <c r="B2753" s="3" t="s">
        <v>1492</v>
      </c>
      <c r="C2753" s="10">
        <f>C2750/C2751*C2752</f>
        <v>164389473.68421051</v>
      </c>
    </row>
    <row r="2755" spans="2:9">
      <c r="B2755" s="2" t="s">
        <v>49</v>
      </c>
    </row>
    <row r="2756" spans="2:9">
      <c r="B2756" s="4" t="s">
        <v>1393</v>
      </c>
      <c r="C2756" s="4" t="s">
        <v>1494</v>
      </c>
      <c r="D2756" s="4" t="s">
        <v>1493</v>
      </c>
    </row>
    <row r="2757" spans="2:9">
      <c r="B2757" s="3" t="s">
        <v>1495</v>
      </c>
      <c r="C2757" s="3">
        <v>7</v>
      </c>
      <c r="D2757" s="3">
        <v>2</v>
      </c>
    </row>
    <row r="2758" spans="2:9">
      <c r="B2758" s="3" t="s">
        <v>1496</v>
      </c>
      <c r="C2758" s="3">
        <v>5</v>
      </c>
      <c r="D2758" s="3">
        <v>2</v>
      </c>
      <c r="E2758" s="24" t="s">
        <v>1497</v>
      </c>
    </row>
    <row r="2759" spans="2:9">
      <c r="B2759" s="3" t="s">
        <v>1023</v>
      </c>
      <c r="C2759" s="3">
        <v>17</v>
      </c>
      <c r="D2759" s="3">
        <v>9</v>
      </c>
    </row>
    <row r="2760" spans="2:9">
      <c r="B2760" s="3" t="s">
        <v>1498</v>
      </c>
      <c r="C2760" s="7">
        <f>1-EXP(-1.6*C2758/C2759)</f>
        <v>0.37536527199972558</v>
      </c>
      <c r="D2760" s="7">
        <f>1-EXP(-1.6*D2758/D2759)</f>
        <v>0.29921598940746719</v>
      </c>
    </row>
    <row r="2761" spans="2:9">
      <c r="B2761" s="3" t="s">
        <v>1500</v>
      </c>
      <c r="C2761" s="3">
        <f>C2741</f>
        <v>1213523473.1484733</v>
      </c>
      <c r="D2761" s="3">
        <f>C2753</f>
        <v>164389473.68421051</v>
      </c>
    </row>
    <row r="2762" spans="2:9">
      <c r="B2762" s="3" t="s">
        <v>49</v>
      </c>
      <c r="C2762" s="3">
        <f>C2761*(1-C2760)</f>
        <v>758008904.57204497</v>
      </c>
      <c r="D2762" s="3">
        <f>D2761*(1-D2760)</f>
        <v>115201514.66761667</v>
      </c>
    </row>
    <row r="2763" spans="2:9">
      <c r="B2763" s="3" t="s">
        <v>1501</v>
      </c>
      <c r="C2763" s="15">
        <f>C2762+D2762</f>
        <v>873210419.23966169</v>
      </c>
    </row>
    <row r="2765" spans="2:9" ht="19.5" thickBot="1"/>
    <row r="2766" spans="2:9" ht="60" customHeight="1" thickBot="1">
      <c r="B2766" s="226" t="s">
        <v>1505</v>
      </c>
      <c r="C2766" s="227"/>
      <c r="D2766" s="227"/>
      <c r="E2766" s="227"/>
      <c r="F2766" s="227"/>
      <c r="G2766" s="227"/>
      <c r="H2766" s="227"/>
      <c r="I2766" s="228"/>
    </row>
    <row r="2768" spans="2:9">
      <c r="B2768" s="3"/>
      <c r="C2768" s="4" t="s">
        <v>1506</v>
      </c>
      <c r="D2768" s="4" t="s">
        <v>1507</v>
      </c>
      <c r="E2768" s="4" t="s">
        <v>1026</v>
      </c>
    </row>
    <row r="2769" spans="2:9">
      <c r="B2769" s="3" t="s">
        <v>274</v>
      </c>
      <c r="C2769" s="3">
        <v>5000000</v>
      </c>
      <c r="D2769" s="3">
        <v>2000000</v>
      </c>
      <c r="E2769" s="3">
        <v>3000000</v>
      </c>
    </row>
    <row r="2770" spans="2:9">
      <c r="B2770" s="3" t="s">
        <v>6</v>
      </c>
      <c r="C2770" s="4">
        <v>40</v>
      </c>
      <c r="D2770" s="4">
        <v>30</v>
      </c>
      <c r="E2770" s="4">
        <v>20</v>
      </c>
    </row>
    <row r="2771" spans="2:9">
      <c r="B2771" s="3" t="s">
        <v>33</v>
      </c>
      <c r="C2771" s="4">
        <v>8</v>
      </c>
      <c r="D2771" s="4">
        <v>8</v>
      </c>
      <c r="E2771" s="4">
        <v>8</v>
      </c>
    </row>
    <row r="2772" spans="2:9">
      <c r="B2772" s="3" t="s">
        <v>82</v>
      </c>
      <c r="C2772" s="22">
        <f>C2771/C2770</f>
        <v>0.2</v>
      </c>
      <c r="D2772" s="22">
        <f>D2771/D2770</f>
        <v>0.26666666666666666</v>
      </c>
      <c r="E2772" s="22">
        <f>E2771/E2770</f>
        <v>0.4</v>
      </c>
    </row>
    <row r="2773" spans="2:9">
      <c r="B2773" s="3" t="s">
        <v>543</v>
      </c>
      <c r="C2773" s="4">
        <f>C2769/(C2769+D2769+E2769)</f>
        <v>0.5</v>
      </c>
      <c r="D2773" s="4">
        <f>D2769/(C2769+D2769+E2769)</f>
        <v>0.2</v>
      </c>
      <c r="E2773" s="4">
        <f>E2769/(C2769+D2769+E2769)</f>
        <v>0.3</v>
      </c>
    </row>
    <row r="2774" spans="2:9">
      <c r="B2774" s="3" t="s">
        <v>11</v>
      </c>
      <c r="C2774" s="22">
        <f>C2772*C2773+D2772*D2773+E2772*E2773</f>
        <v>0.27333333333333332</v>
      </c>
    </row>
    <row r="2775" spans="2:9">
      <c r="B2775" s="3" t="s">
        <v>1508</v>
      </c>
      <c r="C2775" s="210">
        <f>1-C2774</f>
        <v>0.72666666666666668</v>
      </c>
    </row>
    <row r="2778" spans="2:9" ht="19.5" thickBot="1"/>
    <row r="2779" spans="2:9" ht="409.5" customHeight="1" thickBot="1">
      <c r="B2779" s="233" t="s">
        <v>1637</v>
      </c>
      <c r="C2779" s="234"/>
      <c r="D2779" s="234"/>
      <c r="E2779" s="234"/>
      <c r="F2779" s="234"/>
      <c r="G2779" s="234"/>
      <c r="H2779" s="234"/>
      <c r="I2779" s="235"/>
    </row>
    <row r="2781" spans="2:9">
      <c r="B2781" s="2" t="s">
        <v>1014</v>
      </c>
      <c r="C2781" s="1" t="s">
        <v>1015</v>
      </c>
      <c r="D2781" s="1" t="s">
        <v>1016</v>
      </c>
    </row>
    <row r="2782" spans="2:9">
      <c r="B2782" s="145" t="s">
        <v>758</v>
      </c>
      <c r="C2782" s="1">
        <v>9000000</v>
      </c>
      <c r="D2782" s="35" t="s">
        <v>1325</v>
      </c>
    </row>
    <row r="2783" spans="2:9">
      <c r="B2783" s="145" t="s">
        <v>394</v>
      </c>
      <c r="C2783" s="139">
        <v>0.11</v>
      </c>
    </row>
    <row r="2784" spans="2:9">
      <c r="B2784" s="145" t="s">
        <v>1091</v>
      </c>
      <c r="C2784" s="1">
        <f>C2782/C2783</f>
        <v>81818181.818181813</v>
      </c>
    </row>
    <row r="2785" spans="2:4">
      <c r="B2785" s="145"/>
    </row>
    <row r="2786" spans="2:4">
      <c r="B2786" s="2" t="s">
        <v>1312</v>
      </c>
      <c r="C2786" s="1" t="s">
        <v>1015</v>
      </c>
      <c r="D2786" s="1" t="s">
        <v>1016</v>
      </c>
    </row>
    <row r="2787" spans="2:4">
      <c r="B2787" s="145" t="s">
        <v>1313</v>
      </c>
      <c r="C2787" s="1">
        <v>77</v>
      </c>
    </row>
    <row r="2788" spans="2:4">
      <c r="B2788" s="145" t="s">
        <v>1314</v>
      </c>
      <c r="C2788" s="1">
        <v>1800000</v>
      </c>
    </row>
    <row r="2789" spans="2:4">
      <c r="B2789" s="145" t="s">
        <v>1315</v>
      </c>
      <c r="C2789" s="1">
        <f>C2787*C2788</f>
        <v>138600000</v>
      </c>
    </row>
    <row r="2790" spans="2:4">
      <c r="B2790" s="145"/>
    </row>
    <row r="2791" spans="2:4">
      <c r="B2791" s="2" t="s">
        <v>1017</v>
      </c>
      <c r="C2791" s="1" t="s">
        <v>1015</v>
      </c>
      <c r="D2791" s="1" t="s">
        <v>1016</v>
      </c>
    </row>
    <row r="2792" spans="2:4">
      <c r="B2792" s="145" t="s">
        <v>1316</v>
      </c>
      <c r="C2792" s="1">
        <v>18000</v>
      </c>
    </row>
    <row r="2793" spans="2:4">
      <c r="B2793" s="145" t="s">
        <v>1317</v>
      </c>
      <c r="C2793" s="1">
        <v>6500</v>
      </c>
    </row>
    <row r="2794" spans="2:4">
      <c r="B2794" s="145" t="s">
        <v>23</v>
      </c>
      <c r="C2794" s="1">
        <f>C2792*C2793</f>
        <v>117000000</v>
      </c>
      <c r="D2794" s="1" t="s">
        <v>735</v>
      </c>
    </row>
    <row r="2795" spans="2:4">
      <c r="B2795" s="2" t="s">
        <v>1321</v>
      </c>
      <c r="C2795" s="1" t="s">
        <v>1015</v>
      </c>
      <c r="D2795" s="1" t="s">
        <v>1016</v>
      </c>
    </row>
    <row r="2796" spans="2:4">
      <c r="B2796" s="145" t="s">
        <v>1319</v>
      </c>
      <c r="C2796" s="1">
        <v>45560000</v>
      </c>
    </row>
    <row r="2797" spans="2:4">
      <c r="B2797" s="145"/>
    </row>
    <row r="2798" spans="2:4">
      <c r="B2798" s="2" t="s">
        <v>1318</v>
      </c>
      <c r="C2798" s="1" t="s">
        <v>1015</v>
      </c>
      <c r="D2798" s="1" t="s">
        <v>1021</v>
      </c>
    </row>
    <row r="2799" spans="2:4">
      <c r="B2799" s="145" t="s">
        <v>1319</v>
      </c>
      <c r="C2799" s="1">
        <v>20850000</v>
      </c>
    </row>
    <row r="2800" spans="2:4">
      <c r="B2800" s="145" t="s">
        <v>82</v>
      </c>
      <c r="C2800" s="139">
        <v>0.35</v>
      </c>
    </row>
    <row r="2801" spans="2:4">
      <c r="B2801" s="145" t="s">
        <v>23</v>
      </c>
      <c r="C2801" s="1">
        <f>C2799*(1-C2800)</f>
        <v>13552500</v>
      </c>
      <c r="D2801" s="1" t="s">
        <v>1320</v>
      </c>
    </row>
    <row r="2802" spans="2:4">
      <c r="B2802" s="145"/>
    </row>
    <row r="2803" spans="2:4">
      <c r="B2803" s="2" t="s">
        <v>1020</v>
      </c>
      <c r="C2803" s="1" t="s">
        <v>1015</v>
      </c>
      <c r="D2803" s="1" t="s">
        <v>1021</v>
      </c>
    </row>
    <row r="2804" spans="2:4">
      <c r="B2804" s="145" t="s">
        <v>1022</v>
      </c>
      <c r="C2804" s="1">
        <v>75000000</v>
      </c>
      <c r="D2804" s="1" t="s">
        <v>735</v>
      </c>
    </row>
    <row r="2805" spans="2:4">
      <c r="B2805" s="145" t="s">
        <v>1023</v>
      </c>
      <c r="C2805" s="1">
        <v>15</v>
      </c>
    </row>
    <row r="2806" spans="2:4">
      <c r="B2806" s="145" t="s">
        <v>205</v>
      </c>
      <c r="C2806" s="1">
        <v>7</v>
      </c>
    </row>
    <row r="2807" spans="2:4">
      <c r="B2807" s="145"/>
      <c r="D2807" s="1" t="s">
        <v>734</v>
      </c>
    </row>
    <row r="2808" spans="2:4">
      <c r="B2808" s="2" t="s">
        <v>1026</v>
      </c>
      <c r="C2808" s="1" t="s">
        <v>1015</v>
      </c>
      <c r="D2808" s="1" t="s">
        <v>1021</v>
      </c>
    </row>
    <row r="2809" spans="2:4">
      <c r="B2809" s="145" t="s">
        <v>1022</v>
      </c>
      <c r="C2809" s="1">
        <v>51150000</v>
      </c>
      <c r="D2809" s="1" t="s">
        <v>735</v>
      </c>
    </row>
    <row r="2810" spans="2:4">
      <c r="B2810" s="145" t="s">
        <v>15</v>
      </c>
      <c r="C2810" s="139">
        <v>0.2</v>
      </c>
      <c r="D2810" s="139">
        <v>0.27</v>
      </c>
    </row>
    <row r="2811" spans="2:4">
      <c r="B2811" s="145" t="s">
        <v>15</v>
      </c>
      <c r="C2811" s="139">
        <v>0.15</v>
      </c>
      <c r="D2811" s="139">
        <v>0.37</v>
      </c>
    </row>
    <row r="2812" spans="2:4">
      <c r="B2812" s="145" t="s">
        <v>15</v>
      </c>
      <c r="C2812" s="139">
        <v>0.65</v>
      </c>
      <c r="D2812" s="139">
        <v>0.56999999999999995</v>
      </c>
    </row>
    <row r="2813" spans="2:4">
      <c r="B2813" s="145"/>
      <c r="C2813" s="139"/>
      <c r="D2813" s="139"/>
    </row>
    <row r="2814" spans="2:4">
      <c r="B2814" s="2" t="s">
        <v>1027</v>
      </c>
      <c r="C2814" s="1" t="s">
        <v>1015</v>
      </c>
      <c r="D2814" s="1" t="s">
        <v>1021</v>
      </c>
    </row>
    <row r="2815" spans="2:4">
      <c r="B2815" s="145" t="s">
        <v>1022</v>
      </c>
      <c r="C2815" s="1">
        <v>600000000</v>
      </c>
      <c r="D2815" s="1" t="s">
        <v>735</v>
      </c>
    </row>
    <row r="2816" spans="2:4">
      <c r="B2816" s="145" t="s">
        <v>177</v>
      </c>
      <c r="C2816" s="105">
        <v>2011</v>
      </c>
      <c r="D2816" s="1" t="s">
        <v>1029</v>
      </c>
    </row>
    <row r="2817" spans="2:4">
      <c r="B2817" s="145" t="s">
        <v>83</v>
      </c>
      <c r="C2817" s="105">
        <v>2018</v>
      </c>
      <c r="D2817" s="1" t="s">
        <v>1029</v>
      </c>
    </row>
    <row r="2818" spans="2:4">
      <c r="B2818" s="145" t="s">
        <v>265</v>
      </c>
      <c r="C2818" s="105">
        <v>18</v>
      </c>
      <c r="D2818" s="1" t="s">
        <v>1028</v>
      </c>
    </row>
    <row r="2819" spans="2:4">
      <c r="B2819" s="208" t="s">
        <v>205</v>
      </c>
      <c r="C2819" s="209">
        <v>10</v>
      </c>
      <c r="D2819" s="1" t="s">
        <v>1028</v>
      </c>
    </row>
    <row r="2820" spans="2:4">
      <c r="B2820" s="145" t="s">
        <v>1031</v>
      </c>
      <c r="C2820" s="105">
        <v>2.54</v>
      </c>
    </row>
    <row r="2821" spans="2:4">
      <c r="B2821" s="145" t="s">
        <v>1311</v>
      </c>
      <c r="C2821" s="105">
        <v>1.56</v>
      </c>
    </row>
    <row r="2822" spans="2:4">
      <c r="B2822" s="145"/>
      <c r="C2822" s="139"/>
    </row>
    <row r="2823" spans="2:4">
      <c r="B2823" s="2" t="s">
        <v>1322</v>
      </c>
      <c r="C2823" s="1" t="s">
        <v>1025</v>
      </c>
    </row>
    <row r="2824" spans="2:4">
      <c r="B2824" s="145" t="s">
        <v>23</v>
      </c>
      <c r="C2824" s="1">
        <v>271200000</v>
      </c>
      <c r="D2824" s="1" t="s">
        <v>734</v>
      </c>
    </row>
    <row r="2825" spans="2:4">
      <c r="B2825" s="145"/>
      <c r="C2825" s="139"/>
    </row>
    <row r="2826" spans="2:4">
      <c r="B2826" s="2" t="s">
        <v>1033</v>
      </c>
      <c r="C2826" s="2">
        <v>900000000</v>
      </c>
      <c r="D2826" s="1" t="s">
        <v>735</v>
      </c>
    </row>
    <row r="2828" spans="2:4">
      <c r="B2828" s="1" t="s">
        <v>1034</v>
      </c>
    </row>
    <row r="2829" spans="2:4">
      <c r="B2829" s="2" t="s">
        <v>1035</v>
      </c>
      <c r="C2829" s="2">
        <f>C2784+C2789+C2794+C2796</f>
        <v>382978181.81818181</v>
      </c>
    </row>
    <row r="2830" spans="2:4">
      <c r="B2830" s="2"/>
    </row>
    <row r="2831" spans="2:4">
      <c r="B2831" s="1" t="s">
        <v>1036</v>
      </c>
    </row>
    <row r="2832" spans="2:4">
      <c r="B2832" s="145" t="s">
        <v>82</v>
      </c>
      <c r="C2832" s="146">
        <f>C2806/C2805</f>
        <v>0.46666666666666667</v>
      </c>
      <c r="D2832" s="35" t="s">
        <v>1047</v>
      </c>
    </row>
    <row r="2833" spans="2:4">
      <c r="B2833" s="145" t="s">
        <v>13</v>
      </c>
      <c r="C2833" s="1">
        <f>C2804*(1-C2832)</f>
        <v>40000000</v>
      </c>
    </row>
    <row r="2834" spans="2:4">
      <c r="B2834" s="1" t="s">
        <v>1037</v>
      </c>
    </row>
    <row r="2835" spans="2:4">
      <c r="B2835" s="145" t="s">
        <v>82</v>
      </c>
      <c r="C2835" s="146">
        <f>C2810*D2810+C2811*D2811+C2812*D2812</f>
        <v>0.48</v>
      </c>
      <c r="D2835" s="35" t="s">
        <v>1050</v>
      </c>
    </row>
    <row r="2836" spans="2:4">
      <c r="B2836" s="145" t="s">
        <v>13</v>
      </c>
      <c r="C2836" s="1">
        <f>C2809*(1-C2835)</f>
        <v>26598000</v>
      </c>
    </row>
    <row r="2837" spans="2:4">
      <c r="B2837" s="1" t="s">
        <v>1038</v>
      </c>
    </row>
    <row r="2838" spans="2:4">
      <c r="B2838" s="145" t="s">
        <v>15</v>
      </c>
      <c r="C2838" s="146">
        <f>C2819/C2818</f>
        <v>0.55555555555555558</v>
      </c>
      <c r="D2838" s="35" t="s">
        <v>1047</v>
      </c>
    </row>
    <row r="2839" spans="2:4">
      <c r="B2839" s="145" t="s">
        <v>826</v>
      </c>
      <c r="C2839" s="1">
        <f>C2820/C2821</f>
        <v>1.6282051282051282</v>
      </c>
      <c r="D2839" s="35"/>
    </row>
    <row r="2840" spans="2:4">
      <c r="B2840" s="145" t="s">
        <v>562</v>
      </c>
      <c r="C2840" s="1">
        <f>C2815*C2839</f>
        <v>976923076.92307687</v>
      </c>
      <c r="D2840" s="35" t="s">
        <v>1323</v>
      </c>
    </row>
    <row r="2841" spans="2:4">
      <c r="B2841" s="145" t="s">
        <v>13</v>
      </c>
      <c r="C2841" s="1">
        <f>C2840*(1-C2838)</f>
        <v>434188034.18803412</v>
      </c>
      <c r="D2841" s="35" t="s">
        <v>1326</v>
      </c>
    </row>
    <row r="2842" spans="2:4">
      <c r="B2842" s="2" t="s">
        <v>1040</v>
      </c>
      <c r="C2842" s="2">
        <f>C2801+C2833+C2836+C2841</f>
        <v>514338534.18803412</v>
      </c>
      <c r="D2842" s="35" t="s">
        <v>1327</v>
      </c>
    </row>
    <row r="2844" spans="2:4">
      <c r="B2844" s="2" t="s">
        <v>1041</v>
      </c>
      <c r="C2844" s="2">
        <f>C2826-C2829</f>
        <v>517021818.18181819</v>
      </c>
      <c r="D2844" s="35" t="s">
        <v>1042</v>
      </c>
    </row>
    <row r="2845" spans="2:4">
      <c r="D2845" s="136"/>
    </row>
    <row r="2846" spans="2:4">
      <c r="B2846" s="2" t="s">
        <v>47</v>
      </c>
      <c r="C2846" s="147">
        <f>1-C2844/C2842</f>
        <v>-5.2169608447092397E-3</v>
      </c>
      <c r="D2846" s="136" t="s">
        <v>1504</v>
      </c>
    </row>
    <row r="2847" spans="2:4">
      <c r="D2847" s="136"/>
    </row>
    <row r="2848" spans="2:4">
      <c r="B2848" s="2" t="s">
        <v>1043</v>
      </c>
      <c r="C2848" s="11">
        <f>C2841</f>
        <v>434188034.18803412</v>
      </c>
      <c r="D2848" s="35" t="s">
        <v>1326</v>
      </c>
    </row>
    <row r="2850" spans="2:9" ht="19.5" thickBot="1"/>
    <row r="2851" spans="2:9" ht="342" customHeight="1" thickBot="1">
      <c r="B2851" s="226" t="s">
        <v>1509</v>
      </c>
      <c r="C2851" s="227"/>
      <c r="D2851" s="227"/>
      <c r="E2851" s="227"/>
      <c r="F2851" s="227"/>
      <c r="G2851" s="227"/>
      <c r="H2851" s="227"/>
      <c r="I2851" s="228"/>
    </row>
    <row r="2853" spans="2:9" ht="75">
      <c r="B2853" s="207" t="s">
        <v>621</v>
      </c>
      <c r="C2853" s="207" t="s">
        <v>1469</v>
      </c>
      <c r="D2853" s="207" t="s">
        <v>1471</v>
      </c>
      <c r="E2853" s="207" t="s">
        <v>1470</v>
      </c>
      <c r="F2853" s="207" t="s">
        <v>1472</v>
      </c>
    </row>
    <row r="2854" spans="2:9">
      <c r="B2854" s="36">
        <v>39690</v>
      </c>
      <c r="C2854" s="4">
        <v>37</v>
      </c>
      <c r="D2854" s="4">
        <v>2.4</v>
      </c>
      <c r="E2854" s="4">
        <v>60</v>
      </c>
      <c r="F2854" s="4">
        <v>75</v>
      </c>
      <c r="G2854" s="24" t="s">
        <v>1511</v>
      </c>
    </row>
    <row r="2855" spans="2:9">
      <c r="B2855" s="36">
        <v>40024</v>
      </c>
      <c r="C2855" s="4">
        <v>38</v>
      </c>
      <c r="D2855" s="4">
        <v>2.5</v>
      </c>
      <c r="E2855" s="4">
        <v>61</v>
      </c>
      <c r="F2855" s="4">
        <v>76</v>
      </c>
    </row>
    <row r="2856" spans="2:9">
      <c r="B2856" s="36">
        <v>40055</v>
      </c>
      <c r="C2856" s="4">
        <v>39</v>
      </c>
      <c r="D2856" s="4">
        <v>2.5499999999999998</v>
      </c>
      <c r="E2856" s="4">
        <v>62</v>
      </c>
      <c r="F2856" s="4">
        <v>77</v>
      </c>
      <c r="G2856" s="24"/>
    </row>
    <row r="2857" spans="2:9">
      <c r="B2857" s="36">
        <v>40177</v>
      </c>
      <c r="C2857" s="4">
        <v>40</v>
      </c>
      <c r="D2857" s="4">
        <v>2.6</v>
      </c>
      <c r="E2857" s="4">
        <v>88</v>
      </c>
      <c r="F2857" s="4">
        <v>78</v>
      </c>
      <c r="G2857" s="24" t="s">
        <v>1510</v>
      </c>
    </row>
    <row r="2858" spans="2:9">
      <c r="B2858" s="36">
        <v>41275</v>
      </c>
      <c r="C2858" s="4">
        <v>56</v>
      </c>
      <c r="D2858" s="4">
        <v>2.7</v>
      </c>
      <c r="E2858" s="4">
        <v>90</v>
      </c>
      <c r="F2858" s="4">
        <v>79</v>
      </c>
    </row>
    <row r="2859" spans="2:9">
      <c r="B2859" s="36">
        <v>41640</v>
      </c>
      <c r="C2859" s="4">
        <v>60</v>
      </c>
      <c r="D2859" s="4">
        <v>2.8</v>
      </c>
      <c r="E2859" s="4">
        <v>91</v>
      </c>
      <c r="F2859" s="4">
        <v>80</v>
      </c>
    </row>
    <row r="2860" spans="2:9">
      <c r="B2860" s="36">
        <v>42005</v>
      </c>
      <c r="C2860" s="4">
        <v>60</v>
      </c>
      <c r="D2860" s="4">
        <v>2.85</v>
      </c>
      <c r="E2860" s="4">
        <v>95</v>
      </c>
      <c r="F2860" s="4">
        <v>96</v>
      </c>
      <c r="G2860" s="24" t="s">
        <v>1512</v>
      </c>
    </row>
    <row r="2861" spans="2:9">
      <c r="B2861" s="36">
        <v>42370</v>
      </c>
      <c r="C2861" s="4">
        <v>60</v>
      </c>
      <c r="D2861" s="4">
        <v>2.9</v>
      </c>
      <c r="E2861" s="4">
        <v>99</v>
      </c>
      <c r="F2861" s="4">
        <v>98</v>
      </c>
    </row>
    <row r="2862" spans="2:9">
      <c r="B2862" s="36">
        <v>42736</v>
      </c>
      <c r="C2862" s="4">
        <v>65</v>
      </c>
      <c r="D2862" s="4">
        <v>3</v>
      </c>
      <c r="E2862" s="4">
        <v>115</v>
      </c>
      <c r="F2862" s="4">
        <v>102</v>
      </c>
      <c r="G2862" s="24" t="s">
        <v>83</v>
      </c>
    </row>
    <row r="2863" spans="2:9">
      <c r="B2863" s="36">
        <v>43101</v>
      </c>
      <c r="C2863" s="4">
        <v>70</v>
      </c>
      <c r="D2863" s="4">
        <v>3.2</v>
      </c>
      <c r="E2863" s="4">
        <v>116</v>
      </c>
      <c r="F2863" s="4">
        <v>105</v>
      </c>
    </row>
    <row r="2865" spans="2:4">
      <c r="B2865" s="3" t="s">
        <v>1451</v>
      </c>
      <c r="C2865" s="3">
        <v>115876235</v>
      </c>
    </row>
    <row r="2866" spans="2:4">
      <c r="B2866" s="3" t="s">
        <v>1452</v>
      </c>
      <c r="C2866" s="3">
        <v>27305890</v>
      </c>
    </row>
    <row r="2867" spans="2:4">
      <c r="B2867" s="3" t="s">
        <v>1516</v>
      </c>
      <c r="C2867" s="3">
        <v>2540000</v>
      </c>
    </row>
    <row r="2868" spans="2:4">
      <c r="B2868" s="3" t="s">
        <v>1460</v>
      </c>
      <c r="C2868" s="3">
        <v>7</v>
      </c>
      <c r="D2868" s="24" t="s">
        <v>1466</v>
      </c>
    </row>
    <row r="2869" spans="2:4">
      <c r="B2869" s="3" t="s">
        <v>1461</v>
      </c>
      <c r="C2869" s="3">
        <v>4</v>
      </c>
      <c r="D2869" s="24" t="s">
        <v>1513</v>
      </c>
    </row>
    <row r="2870" spans="2:4">
      <c r="B2870" s="3" t="s">
        <v>6</v>
      </c>
      <c r="C2870" s="3">
        <v>17</v>
      </c>
    </row>
    <row r="2871" spans="2:4">
      <c r="B2871" s="3" t="s">
        <v>1456</v>
      </c>
      <c r="C2871" s="9">
        <v>0.25</v>
      </c>
      <c r="D2871" s="24" t="s">
        <v>1473</v>
      </c>
    </row>
    <row r="2872" spans="2:4">
      <c r="B2872" s="3" t="s">
        <v>1457</v>
      </c>
      <c r="C2872" s="9">
        <v>0.15</v>
      </c>
      <c r="D2872" s="24" t="s">
        <v>1473</v>
      </c>
    </row>
    <row r="2873" spans="2:4">
      <c r="B2873" s="3" t="s">
        <v>1517</v>
      </c>
      <c r="C2873" s="3">
        <v>5280000</v>
      </c>
      <c r="D2873" s="24"/>
    </row>
    <row r="2874" spans="2:4">
      <c r="B2874" s="3" t="s">
        <v>1458</v>
      </c>
      <c r="C2874" s="3">
        <v>2</v>
      </c>
    </row>
    <row r="2875" spans="2:4">
      <c r="B2875" s="3" t="s">
        <v>1459</v>
      </c>
      <c r="C2875" s="3">
        <v>9</v>
      </c>
    </row>
    <row r="2876" spans="2:4">
      <c r="B2876" s="3" t="s">
        <v>1467</v>
      </c>
      <c r="C2876" s="9">
        <v>0.3</v>
      </c>
      <c r="D2876" s="24" t="s">
        <v>1468</v>
      </c>
    </row>
    <row r="2877" spans="2:4">
      <c r="B2877" s="16"/>
    </row>
    <row r="2878" spans="2:4">
      <c r="B2878" s="16" t="s">
        <v>7</v>
      </c>
    </row>
    <row r="2879" spans="2:4">
      <c r="B2879" s="3" t="s">
        <v>1514</v>
      </c>
      <c r="C2879" s="3">
        <f>C2865+C2866</f>
        <v>143182125</v>
      </c>
      <c r="D2879" s="24" t="s">
        <v>1515</v>
      </c>
    </row>
    <row r="2880" spans="2:4">
      <c r="B2880" s="3" t="s">
        <v>1518</v>
      </c>
      <c r="C2880" s="3">
        <f>C2879-C2867</f>
        <v>140642125</v>
      </c>
    </row>
    <row r="2881" spans="2:4">
      <c r="B2881" s="3" t="s">
        <v>1519</v>
      </c>
      <c r="C2881" s="3">
        <f>C2880/(1+C2876)</f>
        <v>108186250</v>
      </c>
    </row>
    <row r="2882" spans="2:4">
      <c r="B2882" s="3" t="s">
        <v>1521</v>
      </c>
      <c r="C2882" s="3">
        <f>C2881-C2873</f>
        <v>102906250</v>
      </c>
      <c r="D2882" s="24" t="s">
        <v>1520</v>
      </c>
    </row>
    <row r="2883" spans="2:4">
      <c r="B2883" s="3" t="s">
        <v>1522</v>
      </c>
      <c r="C2883" s="3">
        <f>C2882/(1+C2871)</f>
        <v>82325000</v>
      </c>
    </row>
    <row r="2884" spans="2:4">
      <c r="B2884" s="3" t="s">
        <v>1483</v>
      </c>
      <c r="C2884" s="3">
        <f>C2854</f>
        <v>37</v>
      </c>
    </row>
    <row r="2885" spans="2:4">
      <c r="B2885" s="3" t="s">
        <v>1523</v>
      </c>
      <c r="C2885" s="3">
        <f>C2883/C2884</f>
        <v>2225000</v>
      </c>
    </row>
    <row r="2886" spans="2:4">
      <c r="B2886" s="3" t="s">
        <v>1480</v>
      </c>
      <c r="C2886" s="3">
        <f>D2854</f>
        <v>2.4</v>
      </c>
    </row>
    <row r="2887" spans="2:4">
      <c r="B2887" s="3" t="s">
        <v>471</v>
      </c>
      <c r="C2887" s="3">
        <f>D2862</f>
        <v>3</v>
      </c>
    </row>
    <row r="2888" spans="2:4">
      <c r="B2888" s="3" t="s">
        <v>1524</v>
      </c>
      <c r="C2888" s="3">
        <f>C2885/C2886*C2887</f>
        <v>2781250</v>
      </c>
    </row>
    <row r="2889" spans="2:4">
      <c r="B2889" s="3" t="s">
        <v>1485</v>
      </c>
      <c r="C2889" s="3">
        <f>C2862</f>
        <v>65</v>
      </c>
    </row>
    <row r="2890" spans="2:4">
      <c r="B2890" s="3" t="s">
        <v>1525</v>
      </c>
      <c r="C2890" s="3">
        <f>C2888*C2889</f>
        <v>180781250</v>
      </c>
    </row>
    <row r="2891" spans="2:4">
      <c r="B2891" s="3" t="s">
        <v>1457</v>
      </c>
      <c r="C2891" s="9">
        <f>C2872</f>
        <v>0.15</v>
      </c>
    </row>
    <row r="2892" spans="2:4">
      <c r="B2892" s="3" t="s">
        <v>1526</v>
      </c>
      <c r="C2892" s="3">
        <f>C2890*(1+C2891)</f>
        <v>207898437.49999997</v>
      </c>
    </row>
    <row r="2893" spans="2:4">
      <c r="B2893" s="3" t="s">
        <v>1527</v>
      </c>
      <c r="C2893" s="3">
        <f>C2873</f>
        <v>5280000</v>
      </c>
    </row>
    <row r="2894" spans="2:4">
      <c r="B2894" s="3" t="s">
        <v>1528</v>
      </c>
      <c r="C2894" s="3">
        <f>E2860</f>
        <v>95</v>
      </c>
    </row>
    <row r="2895" spans="2:4">
      <c r="B2895" s="3" t="s">
        <v>1529</v>
      </c>
      <c r="C2895" s="3">
        <f>E2862</f>
        <v>115</v>
      </c>
    </row>
    <row r="2896" spans="2:4">
      <c r="B2896" s="3" t="s">
        <v>1530</v>
      </c>
      <c r="C2896" s="3">
        <f>C2893/C2894*C2895</f>
        <v>6391578.9473684216</v>
      </c>
    </row>
    <row r="2897" spans="2:9">
      <c r="B2897" s="3" t="s">
        <v>1531</v>
      </c>
      <c r="C2897" s="10">
        <f>C2892+C2896</f>
        <v>214290016.44736838</v>
      </c>
    </row>
    <row r="2898" spans="2:9">
      <c r="B2898" s="3" t="s">
        <v>1532</v>
      </c>
      <c r="C2898" s="3">
        <v>4</v>
      </c>
      <c r="D2898" s="24" t="s">
        <v>1533</v>
      </c>
    </row>
    <row r="2899" spans="2:9">
      <c r="B2899" s="3" t="s">
        <v>6</v>
      </c>
      <c r="C2899" s="3">
        <v>17</v>
      </c>
    </row>
    <row r="2900" spans="2:9">
      <c r="B2900" s="3" t="s">
        <v>82</v>
      </c>
      <c r="C2900" s="9">
        <f>C2898/C2899</f>
        <v>0.23529411764705882</v>
      </c>
    </row>
    <row r="2901" spans="2:9">
      <c r="B2901" s="3" t="s">
        <v>797</v>
      </c>
      <c r="C2901" s="15">
        <f>C2897*(1-C2900)</f>
        <v>163868836.10681111</v>
      </c>
    </row>
    <row r="2903" spans="2:9" ht="19.5" thickBot="1"/>
    <row r="2904" spans="2:9" ht="409.5" customHeight="1" thickBot="1">
      <c r="B2904" s="233" t="s">
        <v>1636</v>
      </c>
      <c r="C2904" s="234"/>
      <c r="D2904" s="234"/>
      <c r="E2904" s="234"/>
      <c r="F2904" s="234"/>
      <c r="G2904" s="234"/>
      <c r="H2904" s="234"/>
      <c r="I2904" s="235"/>
    </row>
    <row r="2906" spans="2:9">
      <c r="B2906" s="2" t="s">
        <v>1014</v>
      </c>
      <c r="C2906" s="1" t="s">
        <v>1015</v>
      </c>
      <c r="D2906" s="1" t="s">
        <v>1016</v>
      </c>
    </row>
    <row r="2907" spans="2:9">
      <c r="B2907" s="145" t="s">
        <v>758</v>
      </c>
      <c r="C2907" s="1">
        <v>900000</v>
      </c>
      <c r="D2907" s="35" t="s">
        <v>1325</v>
      </c>
    </row>
    <row r="2908" spans="2:9">
      <c r="B2908" s="145" t="s">
        <v>394</v>
      </c>
      <c r="C2908" s="139">
        <v>0.14000000000000001</v>
      </c>
    </row>
    <row r="2909" spans="2:9">
      <c r="B2909" s="145" t="s">
        <v>1091</v>
      </c>
      <c r="C2909" s="1">
        <f>C2907/C2908</f>
        <v>6428571.4285714282</v>
      </c>
    </row>
    <row r="2910" spans="2:9">
      <c r="B2910" s="145"/>
    </row>
    <row r="2911" spans="2:9">
      <c r="B2911" s="2" t="s">
        <v>1312</v>
      </c>
      <c r="C2911" s="1" t="s">
        <v>1015</v>
      </c>
      <c r="D2911" s="1" t="s">
        <v>1016</v>
      </c>
    </row>
    <row r="2912" spans="2:9">
      <c r="B2912" s="145" t="s">
        <v>1313</v>
      </c>
      <c r="C2912" s="1">
        <v>9</v>
      </c>
    </row>
    <row r="2913" spans="2:4">
      <c r="B2913" s="145" t="s">
        <v>1314</v>
      </c>
      <c r="C2913" s="1">
        <v>9000000</v>
      </c>
    </row>
    <row r="2914" spans="2:4">
      <c r="B2914" s="145" t="s">
        <v>1315</v>
      </c>
      <c r="C2914" s="1">
        <f>C2912*C2913</f>
        <v>81000000</v>
      </c>
    </row>
    <row r="2915" spans="2:4">
      <c r="B2915" s="145"/>
    </row>
    <row r="2916" spans="2:4">
      <c r="B2916" s="2" t="s">
        <v>1017</v>
      </c>
      <c r="C2916" s="1" t="s">
        <v>1015</v>
      </c>
      <c r="D2916" s="1" t="s">
        <v>1016</v>
      </c>
    </row>
    <row r="2917" spans="2:4">
      <c r="B2917" s="145" t="s">
        <v>1316</v>
      </c>
      <c r="C2917" s="1">
        <v>10500</v>
      </c>
    </row>
    <row r="2918" spans="2:4">
      <c r="B2918" s="145" t="s">
        <v>1317</v>
      </c>
      <c r="C2918" s="1">
        <v>5500</v>
      </c>
    </row>
    <row r="2919" spans="2:4">
      <c r="B2919" s="145" t="s">
        <v>23</v>
      </c>
      <c r="C2919" s="1">
        <f>C2917*C2918</f>
        <v>57750000</v>
      </c>
      <c r="D2919" s="1" t="s">
        <v>735</v>
      </c>
    </row>
    <row r="2920" spans="2:4">
      <c r="B2920" s="2" t="s">
        <v>1321</v>
      </c>
      <c r="C2920" s="1" t="s">
        <v>1015</v>
      </c>
      <c r="D2920" s="1" t="s">
        <v>1016</v>
      </c>
    </row>
    <row r="2921" spans="2:4">
      <c r="B2921" s="145" t="s">
        <v>1319</v>
      </c>
      <c r="C2921" s="1">
        <v>15000000</v>
      </c>
    </row>
    <row r="2922" spans="2:4">
      <c r="B2922" s="145"/>
    </row>
    <row r="2923" spans="2:4">
      <c r="B2923" s="2" t="s">
        <v>1318</v>
      </c>
      <c r="C2923" s="1" t="s">
        <v>1015</v>
      </c>
      <c r="D2923" s="1" t="s">
        <v>1021</v>
      </c>
    </row>
    <row r="2924" spans="2:4">
      <c r="B2924" s="145" t="s">
        <v>1319</v>
      </c>
      <c r="C2924" s="1">
        <v>8500000</v>
      </c>
    </row>
    <row r="2925" spans="2:4">
      <c r="B2925" s="145" t="s">
        <v>82</v>
      </c>
      <c r="C2925" s="139">
        <v>0.35</v>
      </c>
    </row>
    <row r="2926" spans="2:4">
      <c r="B2926" s="145" t="s">
        <v>23</v>
      </c>
      <c r="C2926" s="1">
        <f>C2924*(1-C2925)</f>
        <v>5525000</v>
      </c>
      <c r="D2926" s="1" t="s">
        <v>1320</v>
      </c>
    </row>
    <row r="2927" spans="2:4">
      <c r="B2927" s="145"/>
    </row>
    <row r="2928" spans="2:4">
      <c r="B2928" s="2" t="s">
        <v>1020</v>
      </c>
      <c r="C2928" s="1" t="s">
        <v>1015</v>
      </c>
      <c r="D2928" s="1" t="s">
        <v>1021</v>
      </c>
    </row>
    <row r="2929" spans="2:4">
      <c r="B2929" s="145" t="s">
        <v>1022</v>
      </c>
      <c r="C2929" s="1">
        <v>75000000</v>
      </c>
      <c r="D2929" s="1" t="s">
        <v>735</v>
      </c>
    </row>
    <row r="2930" spans="2:4">
      <c r="B2930" s="145" t="s">
        <v>1023</v>
      </c>
      <c r="C2930" s="1">
        <v>15</v>
      </c>
    </row>
    <row r="2931" spans="2:4">
      <c r="B2931" s="145" t="s">
        <v>205</v>
      </c>
      <c r="C2931" s="1">
        <v>7</v>
      </c>
    </row>
    <row r="2932" spans="2:4">
      <c r="B2932" s="145"/>
    </row>
    <row r="2933" spans="2:4">
      <c r="B2933" s="2" t="s">
        <v>1026</v>
      </c>
      <c r="C2933" s="1" t="s">
        <v>1015</v>
      </c>
      <c r="D2933" s="1" t="s">
        <v>1021</v>
      </c>
    </row>
    <row r="2934" spans="2:4">
      <c r="B2934" s="145" t="s">
        <v>1022</v>
      </c>
      <c r="C2934" s="1">
        <v>945000000</v>
      </c>
      <c r="D2934" s="1" t="s">
        <v>735</v>
      </c>
    </row>
    <row r="2935" spans="2:4">
      <c r="B2935" s="145" t="s">
        <v>15</v>
      </c>
      <c r="C2935" s="139">
        <v>0.15</v>
      </c>
      <c r="D2935" s="139">
        <v>0.5</v>
      </c>
    </row>
    <row r="2936" spans="2:4">
      <c r="B2936" s="145" t="s">
        <v>15</v>
      </c>
      <c r="C2936" s="139">
        <v>0.25</v>
      </c>
      <c r="D2936" s="139">
        <v>0.4</v>
      </c>
    </row>
    <row r="2937" spans="2:4">
      <c r="B2937" s="145" t="s">
        <v>15</v>
      </c>
      <c r="C2937" s="139">
        <v>0.6</v>
      </c>
      <c r="D2937" s="139">
        <v>0.3</v>
      </c>
    </row>
    <row r="2938" spans="2:4">
      <c r="B2938" s="145"/>
      <c r="C2938" s="139"/>
      <c r="D2938" s="139"/>
    </row>
    <row r="2939" spans="2:4">
      <c r="B2939" s="2" t="s">
        <v>1027</v>
      </c>
      <c r="C2939" s="1" t="s">
        <v>1015</v>
      </c>
      <c r="D2939" s="1" t="s">
        <v>1021</v>
      </c>
    </row>
    <row r="2940" spans="2:4">
      <c r="B2940" s="145" t="s">
        <v>1022</v>
      </c>
      <c r="C2940" s="1">
        <v>115000000</v>
      </c>
      <c r="D2940" s="1" t="s">
        <v>735</v>
      </c>
    </row>
    <row r="2941" spans="2:4">
      <c r="B2941" s="145" t="s">
        <v>177</v>
      </c>
      <c r="C2941" s="105">
        <v>2013</v>
      </c>
      <c r="D2941" s="1" t="s">
        <v>1029</v>
      </c>
    </row>
    <row r="2942" spans="2:4">
      <c r="B2942" s="145" t="s">
        <v>83</v>
      </c>
      <c r="C2942" s="105">
        <v>2018</v>
      </c>
      <c r="D2942" s="1" t="s">
        <v>1029</v>
      </c>
    </row>
    <row r="2943" spans="2:4">
      <c r="B2943" s="145" t="s">
        <v>792</v>
      </c>
      <c r="C2943" s="105">
        <v>17</v>
      </c>
      <c r="D2943" s="1" t="s">
        <v>1028</v>
      </c>
    </row>
    <row r="2944" spans="2:4">
      <c r="B2944" s="208" t="s">
        <v>205</v>
      </c>
      <c r="C2944" s="111">
        <f>C2942-C2941</f>
        <v>5</v>
      </c>
      <c r="D2944" s="1" t="s">
        <v>1028</v>
      </c>
    </row>
    <row r="2945" spans="2:4">
      <c r="B2945" s="145" t="s">
        <v>1031</v>
      </c>
      <c r="C2945" s="105">
        <v>3.24</v>
      </c>
    </row>
    <row r="2946" spans="2:4">
      <c r="B2946" s="145" t="s">
        <v>1032</v>
      </c>
      <c r="C2946" s="105">
        <v>3.56</v>
      </c>
    </row>
    <row r="2947" spans="2:4">
      <c r="B2947" s="145"/>
      <c r="C2947" s="139"/>
    </row>
    <row r="2948" spans="2:4">
      <c r="B2948" s="2" t="s">
        <v>1322</v>
      </c>
      <c r="C2948" s="1" t="s">
        <v>1025</v>
      </c>
    </row>
    <row r="2949" spans="2:4">
      <c r="B2949" s="145" t="s">
        <v>23</v>
      </c>
      <c r="C2949" s="1">
        <v>185000000</v>
      </c>
      <c r="D2949" s="1" t="s">
        <v>734</v>
      </c>
    </row>
    <row r="2950" spans="2:4">
      <c r="B2950" s="145" t="s">
        <v>23</v>
      </c>
      <c r="C2950" s="1">
        <f>C2949/1.18</f>
        <v>156779661.01694915</v>
      </c>
      <c r="D2950" s="1" t="s">
        <v>735</v>
      </c>
    </row>
    <row r="2951" spans="2:4">
      <c r="B2951" s="145"/>
      <c r="C2951" s="139"/>
    </row>
    <row r="2952" spans="2:4">
      <c r="B2952" s="2" t="s">
        <v>1534</v>
      </c>
      <c r="C2952" s="2">
        <v>800000000</v>
      </c>
      <c r="D2952" s="1" t="s">
        <v>735</v>
      </c>
    </row>
    <row r="2954" spans="2:4">
      <c r="B2954" s="1" t="s">
        <v>1034</v>
      </c>
    </row>
    <row r="2955" spans="2:4">
      <c r="B2955" s="2" t="s">
        <v>1035</v>
      </c>
      <c r="C2955" s="2">
        <f>C2909+C2914+C2919+C2921</f>
        <v>160178571.42857143</v>
      </c>
    </row>
    <row r="2956" spans="2:4">
      <c r="B2956" s="2"/>
    </row>
    <row r="2957" spans="2:4">
      <c r="B2957" s="1" t="s">
        <v>1036</v>
      </c>
    </row>
    <row r="2958" spans="2:4">
      <c r="B2958" s="145" t="s">
        <v>82</v>
      </c>
      <c r="C2958" s="146">
        <f>C2931/C2930</f>
        <v>0.46666666666666667</v>
      </c>
      <c r="D2958" s="35" t="s">
        <v>1047</v>
      </c>
    </row>
    <row r="2959" spans="2:4">
      <c r="B2959" s="145" t="s">
        <v>13</v>
      </c>
      <c r="C2959" s="1">
        <f>C2929*(1-C2958)</f>
        <v>40000000</v>
      </c>
    </row>
    <row r="2960" spans="2:4">
      <c r="B2960" s="1" t="s">
        <v>1037</v>
      </c>
    </row>
    <row r="2961" spans="2:4">
      <c r="B2961" s="145" t="s">
        <v>82</v>
      </c>
      <c r="C2961" s="146">
        <f>C2935*D2935+C2936*D2936+C2937*D2937</f>
        <v>0.35499999999999998</v>
      </c>
      <c r="D2961" s="35" t="s">
        <v>1050</v>
      </c>
    </row>
    <row r="2962" spans="2:4">
      <c r="B2962" s="145" t="s">
        <v>13</v>
      </c>
      <c r="C2962" s="1">
        <f>C2934*(1-C2961)</f>
        <v>609525000</v>
      </c>
    </row>
    <row r="2963" spans="2:4">
      <c r="B2963" s="1" t="s">
        <v>1038</v>
      </c>
    </row>
    <row r="2964" spans="2:4">
      <c r="B2964" s="145" t="s">
        <v>15</v>
      </c>
      <c r="C2964" s="146">
        <f>C2944/C2943</f>
        <v>0.29411764705882354</v>
      </c>
      <c r="D2964" s="35" t="s">
        <v>1047</v>
      </c>
    </row>
    <row r="2965" spans="2:4">
      <c r="B2965" s="145" t="s">
        <v>1354</v>
      </c>
      <c r="C2965" s="1">
        <f>C2945/C2946</f>
        <v>0.9101123595505618</v>
      </c>
      <c r="D2965" s="35"/>
    </row>
    <row r="2966" spans="2:4">
      <c r="B2966" s="145" t="s">
        <v>562</v>
      </c>
      <c r="C2966" s="1">
        <f>C2940*C2965</f>
        <v>104662921.34831461</v>
      </c>
      <c r="D2966" s="35" t="s">
        <v>1048</v>
      </c>
    </row>
    <row r="2967" spans="2:4">
      <c r="B2967" s="145" t="s">
        <v>13</v>
      </c>
      <c r="C2967" s="1">
        <f>C2966*(1-C2964)</f>
        <v>73879709.187045604</v>
      </c>
      <c r="D2967" s="35" t="s">
        <v>1326</v>
      </c>
    </row>
    <row r="2968" spans="2:4">
      <c r="B2968" s="2" t="s">
        <v>1040</v>
      </c>
      <c r="C2968" s="2">
        <f>C2926+C2959+C2962+C2967</f>
        <v>728929709.18704557</v>
      </c>
      <c r="D2968" s="35"/>
    </row>
    <row r="2970" spans="2:4">
      <c r="B2970" s="2" t="s">
        <v>1041</v>
      </c>
      <c r="C2970" s="2">
        <f>C2952-C2955-C2950</f>
        <v>483041767.55447936</v>
      </c>
      <c r="D2970" s="35" t="s">
        <v>1537</v>
      </c>
    </row>
    <row r="2971" spans="2:4">
      <c r="D2971" s="136"/>
    </row>
    <row r="2972" spans="2:4">
      <c r="B2972" s="2" t="s">
        <v>1538</v>
      </c>
      <c r="C2972" s="147">
        <f>1-C2970/C2968</f>
        <v>0.33732736988700596</v>
      </c>
      <c r="D2972" s="136"/>
    </row>
    <row r="2973" spans="2:4">
      <c r="D2973" s="136"/>
    </row>
    <row r="2974" spans="2:4">
      <c r="B2974" s="2" t="s">
        <v>1536</v>
      </c>
      <c r="C2974" s="2">
        <f>C2967*(1-C2972)</f>
        <v>48958061.198962636</v>
      </c>
      <c r="D2974" s="35" t="s">
        <v>1535</v>
      </c>
    </row>
    <row r="2976" spans="2:4">
      <c r="B2976" s="2" t="s">
        <v>1539</v>
      </c>
      <c r="C2976" s="11">
        <f>C2974*1.18</f>
        <v>57770512.214775905</v>
      </c>
    </row>
    <row r="2978" spans="2:9" ht="19.5" thickBot="1"/>
    <row r="2979" spans="2:9" ht="78" customHeight="1" thickBot="1">
      <c r="B2979" s="226" t="s">
        <v>1540</v>
      </c>
      <c r="C2979" s="227"/>
      <c r="D2979" s="227"/>
      <c r="E2979" s="227"/>
      <c r="F2979" s="227"/>
      <c r="G2979" s="227"/>
      <c r="H2979" s="227"/>
      <c r="I2979" s="228"/>
    </row>
    <row r="2981" spans="2:9">
      <c r="B2981" s="3" t="s">
        <v>1541</v>
      </c>
      <c r="C2981" s="3">
        <v>10000000</v>
      </c>
    </row>
    <row r="2982" spans="2:9">
      <c r="B2982" s="3" t="s">
        <v>1542</v>
      </c>
      <c r="C2982" s="3">
        <v>10</v>
      </c>
    </row>
    <row r="2983" spans="2:9">
      <c r="B2983" s="3" t="s">
        <v>1543</v>
      </c>
      <c r="C2983" s="3">
        <v>30000</v>
      </c>
    </row>
    <row r="2984" spans="2:9">
      <c r="B2984" s="3" t="s">
        <v>1544</v>
      </c>
      <c r="C2984" s="3">
        <v>12000</v>
      </c>
    </row>
    <row r="2985" spans="2:9">
      <c r="B2985" s="3" t="s">
        <v>1545</v>
      </c>
      <c r="C2985" s="3">
        <v>3500</v>
      </c>
    </row>
    <row r="2986" spans="2:9">
      <c r="B2986" s="3" t="s">
        <v>1546</v>
      </c>
      <c r="C2986" s="3">
        <v>1200</v>
      </c>
    </row>
    <row r="2987" spans="2:9">
      <c r="B2987" s="3" t="s">
        <v>1547</v>
      </c>
      <c r="C2987" s="3">
        <v>4</v>
      </c>
    </row>
    <row r="2988" spans="2:9">
      <c r="B2988" s="6" t="s">
        <v>7</v>
      </c>
      <c r="C2988" s="3"/>
    </row>
    <row r="2989" spans="2:9">
      <c r="B2989" s="3" t="s">
        <v>1548</v>
      </c>
      <c r="C2989" s="9">
        <f>C2987/C2982</f>
        <v>0.4</v>
      </c>
    </row>
    <row r="2990" spans="2:9">
      <c r="B2990" s="3" t="s">
        <v>1549</v>
      </c>
      <c r="C2990" s="211">
        <f>(C2987*C2985)/C2983</f>
        <v>0.46666666666666667</v>
      </c>
    </row>
    <row r="2991" spans="2:9">
      <c r="B2991" s="3" t="s">
        <v>1550</v>
      </c>
      <c r="C2991" s="9">
        <f>(C2987*C2986)/C2984</f>
        <v>0.4</v>
      </c>
    </row>
    <row r="2992" spans="2:9">
      <c r="B2992" s="3" t="s">
        <v>23</v>
      </c>
      <c r="C2992" s="15">
        <f>C2981*(1-C2990)</f>
        <v>5333333.333333333</v>
      </c>
    </row>
    <row r="2994" spans="2:9" ht="19.5" thickBot="1"/>
    <row r="2995" spans="2:9" ht="136.5" customHeight="1" thickBot="1">
      <c r="B2995" s="226" t="s">
        <v>1551</v>
      </c>
      <c r="C2995" s="227"/>
      <c r="D2995" s="227"/>
      <c r="E2995" s="227"/>
      <c r="F2995" s="227"/>
      <c r="G2995" s="227"/>
      <c r="H2995" s="227"/>
      <c r="I2995" s="228"/>
    </row>
    <row r="2996" spans="2:9" ht="19.5" thickBot="1"/>
    <row r="2997" spans="2:9">
      <c r="B2997" s="57"/>
      <c r="C2997" s="58" t="s">
        <v>522</v>
      </c>
      <c r="D2997" s="58" t="s">
        <v>1329</v>
      </c>
      <c r="E2997" s="59" t="s">
        <v>521</v>
      </c>
    </row>
    <row r="2998" spans="2:9">
      <c r="B2998" s="60" t="s">
        <v>523</v>
      </c>
      <c r="C2998" s="5">
        <v>2</v>
      </c>
      <c r="D2998" s="5">
        <v>5</v>
      </c>
      <c r="E2998" s="66">
        <v>0</v>
      </c>
    </row>
    <row r="2999" spans="2:9">
      <c r="B2999" s="60" t="s">
        <v>524</v>
      </c>
      <c r="C2999" s="22">
        <v>0.5</v>
      </c>
      <c r="D2999" s="22">
        <v>0</v>
      </c>
      <c r="E2999" s="61"/>
    </row>
    <row r="3000" spans="2:9">
      <c r="B3000" s="60" t="s">
        <v>525</v>
      </c>
      <c r="C3000" s="5">
        <v>4</v>
      </c>
      <c r="D3000" s="5">
        <v>0</v>
      </c>
      <c r="E3000" s="61"/>
    </row>
    <row r="3001" spans="2:9">
      <c r="B3001" s="60" t="s">
        <v>1330</v>
      </c>
      <c r="C3001" s="165"/>
      <c r="D3001" s="165">
        <v>-1</v>
      </c>
      <c r="E3001" s="61"/>
    </row>
    <row r="3002" spans="2:9">
      <c r="B3002" s="60" t="s">
        <v>527</v>
      </c>
      <c r="C3002" s="53">
        <f>C3000+C3001</f>
        <v>4</v>
      </c>
      <c r="D3002" s="5">
        <v>0</v>
      </c>
      <c r="E3002" s="66">
        <v>4</v>
      </c>
    </row>
    <row r="3003" spans="2:9">
      <c r="B3003" s="60" t="s">
        <v>528</v>
      </c>
      <c r="C3003" s="5"/>
      <c r="D3003" s="5"/>
      <c r="E3003" s="66">
        <v>7</v>
      </c>
    </row>
    <row r="3004" spans="2:9">
      <c r="B3004" s="60" t="s">
        <v>265</v>
      </c>
      <c r="C3004" s="54">
        <f>1/(C2999/C3000)</f>
        <v>8</v>
      </c>
      <c r="D3004" s="196">
        <v>7</v>
      </c>
      <c r="E3004" s="67">
        <f>E3002+E3003</f>
        <v>11</v>
      </c>
    </row>
    <row r="3005" spans="2:9">
      <c r="B3005" s="60" t="s">
        <v>530</v>
      </c>
      <c r="C3005" s="5">
        <v>1</v>
      </c>
      <c r="D3005" s="102">
        <f>1/1.2</f>
        <v>0.83333333333333337</v>
      </c>
      <c r="E3005" s="66">
        <v>1</v>
      </c>
      <c r="F3005" s="24" t="s">
        <v>1334</v>
      </c>
    </row>
    <row r="3006" spans="2:9">
      <c r="B3006" s="60" t="s">
        <v>529</v>
      </c>
      <c r="C3006" s="4">
        <v>200000</v>
      </c>
      <c r="D3006" s="191">
        <f>400000*1.18</f>
        <v>472000</v>
      </c>
      <c r="E3006" s="61">
        <v>300000</v>
      </c>
      <c r="F3006" s="24" t="s">
        <v>1332</v>
      </c>
    </row>
    <row r="3007" spans="2:9">
      <c r="B3007" s="60" t="s">
        <v>532</v>
      </c>
      <c r="C3007" s="166">
        <v>-0.1</v>
      </c>
      <c r="D3007" s="166">
        <v>-0.1</v>
      </c>
      <c r="E3007" s="167">
        <v>-0.1</v>
      </c>
      <c r="F3007" s="24" t="s">
        <v>1331</v>
      </c>
    </row>
    <row r="3008" spans="2:9">
      <c r="B3008" s="60" t="s">
        <v>533</v>
      </c>
      <c r="C3008" s="21">
        <f>C3002/C3004</f>
        <v>0.5</v>
      </c>
      <c r="D3008" s="21">
        <f>D3002/D3004</f>
        <v>0</v>
      </c>
      <c r="E3008" s="62">
        <f>E3002/E3004</f>
        <v>0.36363636363636365</v>
      </c>
      <c r="F3008" s="24" t="s">
        <v>511</v>
      </c>
    </row>
    <row r="3009" spans="2:8">
      <c r="B3009" s="60" t="s">
        <v>534</v>
      </c>
      <c r="C3009" s="4">
        <f>C3006/(1-C2999)</f>
        <v>400000</v>
      </c>
      <c r="D3009" s="4">
        <f>D3006/(1-D2999)</f>
        <v>472000</v>
      </c>
      <c r="E3009" s="61">
        <f>E3006/(1-E3002/E3004)</f>
        <v>471428.57142857142</v>
      </c>
      <c r="F3009" s="24" t="s">
        <v>905</v>
      </c>
    </row>
    <row r="3010" spans="2:8">
      <c r="B3010" s="60" t="s">
        <v>541</v>
      </c>
      <c r="C3010" s="54">
        <f>C3009*(1+C3007)^C2998</f>
        <v>324000</v>
      </c>
      <c r="D3010" s="54">
        <f>D3009*(1+D3007)^D2998</f>
        <v>278711.28000000009</v>
      </c>
      <c r="E3010" s="69">
        <f>E3009*(1+E3007)^E2998</f>
        <v>471428.57142857142</v>
      </c>
      <c r="F3010" s="2">
        <f>SUM(C3010:E3010)</f>
        <v>1074139.8514285714</v>
      </c>
      <c r="G3010" s="24" t="s">
        <v>548</v>
      </c>
    </row>
    <row r="3011" spans="2:8">
      <c r="B3011" s="60" t="s">
        <v>536</v>
      </c>
      <c r="C3011" s="4">
        <f>C3010/1.18</f>
        <v>274576.27118644072</v>
      </c>
      <c r="D3011" s="4">
        <f t="shared" ref="D3011:E3011" si="40">D3010/1.18</f>
        <v>236196.00000000009</v>
      </c>
      <c r="E3011" s="61">
        <f t="shared" si="40"/>
        <v>399515.73849878937</v>
      </c>
      <c r="F3011" s="24" t="s">
        <v>537</v>
      </c>
      <c r="G3011" s="24"/>
    </row>
    <row r="3012" spans="2:8">
      <c r="B3012" s="60" t="s">
        <v>538</v>
      </c>
      <c r="C3012" s="4">
        <f>(C2998+C3002)*C3005</f>
        <v>6</v>
      </c>
      <c r="D3012" s="212">
        <f>D2998*D3005+D3001</f>
        <v>3.166666666666667</v>
      </c>
      <c r="E3012" s="61">
        <f>(E2998+E3002)*E3005</f>
        <v>4</v>
      </c>
      <c r="F3012" s="24" t="s">
        <v>1552</v>
      </c>
    </row>
    <row r="3013" spans="2:8">
      <c r="B3013" s="60" t="s">
        <v>371</v>
      </c>
      <c r="C3013" s="21">
        <f>C3012/C3004</f>
        <v>0.75</v>
      </c>
      <c r="D3013" s="21">
        <f>D3012/D3004</f>
        <v>0.45238095238095244</v>
      </c>
      <c r="E3013" s="62">
        <f>E3012/E3004</f>
        <v>0.36363636363636365</v>
      </c>
      <c r="F3013" s="24" t="s">
        <v>555</v>
      </c>
    </row>
    <row r="3014" spans="2:8">
      <c r="B3014" s="60" t="s">
        <v>540</v>
      </c>
      <c r="C3014" s="4">
        <f>C3010*C3013</f>
        <v>243000</v>
      </c>
      <c r="D3014" s="4">
        <f>D3010*D3013</f>
        <v>126083.67428571434</v>
      </c>
      <c r="E3014" s="61">
        <f>E3010*E3013</f>
        <v>171428.57142857142</v>
      </c>
      <c r="F3014" s="2">
        <f>SUM(C3014:E3014)</f>
        <v>540512.24571428576</v>
      </c>
      <c r="G3014" s="74">
        <f>F3014/F3010</f>
        <v>0.50320472236033498</v>
      </c>
    </row>
    <row r="3015" spans="2:8">
      <c r="B3015" s="60" t="s">
        <v>542</v>
      </c>
      <c r="C3015" s="4">
        <f>C3010-C3014</f>
        <v>81000</v>
      </c>
      <c r="D3015" s="4">
        <f>D3010-D3014</f>
        <v>152627.60571428575</v>
      </c>
      <c r="E3015" s="61">
        <f>E3010-E3014</f>
        <v>300000</v>
      </c>
      <c r="F3015" s="2">
        <f>SUM(C3015:E3015)</f>
        <v>533627.60571428575</v>
      </c>
    </row>
    <row r="3016" spans="2:8">
      <c r="B3016" s="60" t="s">
        <v>543</v>
      </c>
      <c r="C3016" s="56">
        <f>C3015/F3015</f>
        <v>0.15179124755282791</v>
      </c>
      <c r="D3016" s="185">
        <f>D3015/F3015</f>
        <v>0.28601894669595757</v>
      </c>
      <c r="E3016" s="70">
        <f>E3015/F3015</f>
        <v>0.56218980575121458</v>
      </c>
    </row>
    <row r="3017" spans="2:8">
      <c r="B3017" s="60" t="s">
        <v>544</v>
      </c>
      <c r="C3017" s="21">
        <f>1/C3004</f>
        <v>0.125</v>
      </c>
      <c r="D3017" s="21">
        <f>1/D3004</f>
        <v>0.14285714285714285</v>
      </c>
      <c r="E3017" s="62">
        <f>1/E3004</f>
        <v>9.0909090909090912E-2</v>
      </c>
      <c r="F3017" s="24" t="s">
        <v>545</v>
      </c>
    </row>
    <row r="3018" spans="2:8" ht="19.5" thickBot="1">
      <c r="B3018" s="63" t="s">
        <v>546</v>
      </c>
      <c r="C3018" s="71">
        <f>C3010*C3017</f>
        <v>40500</v>
      </c>
      <c r="D3018" s="71">
        <f>D3010*D3017</f>
        <v>39815.897142857153</v>
      </c>
      <c r="E3018" s="72">
        <f>E3010*E3017</f>
        <v>42857.142857142855</v>
      </c>
      <c r="F3018" s="2">
        <f>SUM(C3018:E3018)</f>
        <v>123173.04000000001</v>
      </c>
      <c r="G3018" s="74">
        <f>F3018/F3010</f>
        <v>0.11467132500128716</v>
      </c>
      <c r="H3018" s="24" t="s">
        <v>547</v>
      </c>
    </row>
    <row r="3019" spans="2:8">
      <c r="B3019" s="57" t="s">
        <v>1333</v>
      </c>
      <c r="C3019" s="58">
        <f>C3010/(1+C3007)</f>
        <v>360000</v>
      </c>
      <c r="D3019" s="58">
        <f t="shared" ref="D3019:E3019" si="41">D3010/(1+D3007)</f>
        <v>309679.20000000007</v>
      </c>
      <c r="E3019" s="59">
        <f t="shared" si="41"/>
        <v>523809.52380952379</v>
      </c>
      <c r="F3019" s="2">
        <f>SUM(C3019:E3019)</f>
        <v>1193488.723809524</v>
      </c>
      <c r="G3019" s="24"/>
      <c r="H3019" s="24" t="s">
        <v>549</v>
      </c>
    </row>
    <row r="3020" spans="2:8">
      <c r="B3020" s="60" t="s">
        <v>583</v>
      </c>
      <c r="C3020" s="4">
        <f>C3012-C3005</f>
        <v>5</v>
      </c>
      <c r="D3020" s="4">
        <f>D3012-D3005</f>
        <v>2.3333333333333335</v>
      </c>
      <c r="E3020" s="61">
        <f>E3012-E3005</f>
        <v>3</v>
      </c>
    </row>
    <row r="3021" spans="2:8">
      <c r="B3021" s="60" t="s">
        <v>584</v>
      </c>
      <c r="C3021" s="21">
        <f>C3020/C3004</f>
        <v>0.625</v>
      </c>
      <c r="D3021" s="21">
        <f>D3020/D3004</f>
        <v>0.33333333333333337</v>
      </c>
      <c r="E3021" s="62">
        <f>E3020/E3004</f>
        <v>0.27272727272727271</v>
      </c>
    </row>
    <row r="3022" spans="2:8">
      <c r="B3022" s="60" t="s">
        <v>584</v>
      </c>
      <c r="C3022" s="4">
        <f>C3019*C3021</f>
        <v>225000</v>
      </c>
      <c r="D3022" s="4">
        <f t="shared" ref="D3022:E3022" si="42">D3019*D3021</f>
        <v>103226.40000000004</v>
      </c>
      <c r="E3022" s="61">
        <f t="shared" si="42"/>
        <v>142857.14285714284</v>
      </c>
      <c r="F3022" s="2">
        <f>SUM(C3022:E3022)</f>
        <v>471083.54285714286</v>
      </c>
      <c r="G3022" s="74">
        <f>F3022/F3019</f>
        <v>0.39471134788226614</v>
      </c>
      <c r="H3022" s="24" t="s">
        <v>554</v>
      </c>
    </row>
    <row r="3023" spans="2:8">
      <c r="B3023" s="60" t="s">
        <v>543</v>
      </c>
      <c r="C3023" s="4">
        <f>C3019/F3019</f>
        <v>0.3016366998851131</v>
      </c>
      <c r="D3023" s="4">
        <f>D3019/F3019</f>
        <v>0.25947392197517205</v>
      </c>
      <c r="E3023" s="61">
        <f>E3019/F3019</f>
        <v>0.43888937813971479</v>
      </c>
      <c r="F3023" s="2"/>
      <c r="G3023" s="51"/>
      <c r="H3023" s="24"/>
    </row>
    <row r="3024" spans="2:8" ht="19.5" thickBot="1">
      <c r="B3024" s="63" t="s">
        <v>584</v>
      </c>
      <c r="C3024" s="64">
        <f>C3021*C3023</f>
        <v>0.1885229374281957</v>
      </c>
      <c r="D3024" s="64">
        <f t="shared" ref="D3024:E3024" si="43">D3021*D3023</f>
        <v>8.6491307325057359E-2</v>
      </c>
      <c r="E3024" s="65">
        <f t="shared" si="43"/>
        <v>0.11969710312901312</v>
      </c>
      <c r="F3024" s="77">
        <f>SUM(C3024:E3024)</f>
        <v>0.39471134788226619</v>
      </c>
      <c r="G3024" s="24" t="s">
        <v>1364</v>
      </c>
      <c r="H3024" s="24"/>
    </row>
    <row r="3026" spans="2:9" ht="19.5" thickBot="1"/>
    <row r="3027" spans="2:9" ht="409.5" customHeight="1" thickBot="1">
      <c r="B3027" s="233" t="s">
        <v>1635</v>
      </c>
      <c r="C3027" s="234"/>
      <c r="D3027" s="234"/>
      <c r="E3027" s="234"/>
      <c r="F3027" s="234"/>
      <c r="G3027" s="234"/>
      <c r="H3027" s="234"/>
      <c r="I3027" s="235"/>
    </row>
    <row r="3029" spans="2:9">
      <c r="B3029" s="2" t="s">
        <v>1014</v>
      </c>
      <c r="C3029" s="1" t="s">
        <v>1015</v>
      </c>
      <c r="D3029" s="1" t="s">
        <v>1016</v>
      </c>
    </row>
    <row r="3030" spans="2:9">
      <c r="B3030" s="145" t="s">
        <v>758</v>
      </c>
      <c r="C3030" s="1">
        <v>900000</v>
      </c>
      <c r="D3030" s="35" t="s">
        <v>1325</v>
      </c>
    </row>
    <row r="3031" spans="2:9">
      <c r="B3031" s="145" t="s">
        <v>394</v>
      </c>
      <c r="C3031" s="139">
        <v>0.14000000000000001</v>
      </c>
    </row>
    <row r="3032" spans="2:9">
      <c r="B3032" s="145" t="s">
        <v>1091</v>
      </c>
      <c r="C3032" s="1">
        <f>C3030/C3031</f>
        <v>6428571.4285714282</v>
      </c>
    </row>
    <row r="3033" spans="2:9">
      <c r="B3033" s="145"/>
    </row>
    <row r="3034" spans="2:9">
      <c r="B3034" s="2" t="s">
        <v>1312</v>
      </c>
      <c r="C3034" s="1" t="s">
        <v>1015</v>
      </c>
      <c r="D3034" s="1" t="s">
        <v>1016</v>
      </c>
    </row>
    <row r="3035" spans="2:9">
      <c r="B3035" s="145" t="s">
        <v>1313</v>
      </c>
      <c r="C3035" s="1">
        <v>9</v>
      </c>
    </row>
    <row r="3036" spans="2:9">
      <c r="B3036" s="145" t="s">
        <v>1314</v>
      </c>
      <c r="C3036" s="1">
        <v>9000000</v>
      </c>
    </row>
    <row r="3037" spans="2:9">
      <c r="B3037" s="145" t="s">
        <v>1315</v>
      </c>
      <c r="C3037" s="1">
        <f>C3035*C3036</f>
        <v>81000000</v>
      </c>
    </row>
    <row r="3038" spans="2:9">
      <c r="B3038" s="145"/>
    </row>
    <row r="3039" spans="2:9">
      <c r="B3039" s="2" t="s">
        <v>1017</v>
      </c>
      <c r="C3039" s="1" t="s">
        <v>1015</v>
      </c>
      <c r="D3039" s="1" t="s">
        <v>1016</v>
      </c>
    </row>
    <row r="3040" spans="2:9">
      <c r="B3040" s="145" t="s">
        <v>1316</v>
      </c>
      <c r="C3040" s="1">
        <v>10500</v>
      </c>
    </row>
    <row r="3041" spans="2:4">
      <c r="B3041" s="145" t="s">
        <v>1317</v>
      </c>
      <c r="C3041" s="1">
        <v>5500</v>
      </c>
    </row>
    <row r="3042" spans="2:4">
      <c r="B3042" s="145" t="s">
        <v>23</v>
      </c>
      <c r="C3042" s="1">
        <f>C3040*C3041</f>
        <v>57750000</v>
      </c>
      <c r="D3042" s="1" t="s">
        <v>735</v>
      </c>
    </row>
    <row r="3043" spans="2:4">
      <c r="B3043" s="2" t="s">
        <v>1321</v>
      </c>
      <c r="C3043" s="1" t="s">
        <v>1015</v>
      </c>
      <c r="D3043" s="1" t="s">
        <v>1016</v>
      </c>
    </row>
    <row r="3044" spans="2:4">
      <c r="B3044" s="145" t="s">
        <v>1319</v>
      </c>
      <c r="C3044" s="1">
        <v>15000000</v>
      </c>
    </row>
    <row r="3045" spans="2:4">
      <c r="B3045" s="145"/>
    </row>
    <row r="3046" spans="2:4">
      <c r="B3046" s="2" t="s">
        <v>1318</v>
      </c>
      <c r="C3046" s="1" t="s">
        <v>1015</v>
      </c>
      <c r="D3046" s="1" t="s">
        <v>1021</v>
      </c>
    </row>
    <row r="3047" spans="2:4">
      <c r="B3047" s="145" t="s">
        <v>1319</v>
      </c>
      <c r="C3047" s="1">
        <v>8500000</v>
      </c>
    </row>
    <row r="3048" spans="2:4">
      <c r="B3048" s="145" t="s">
        <v>82</v>
      </c>
      <c r="C3048" s="139">
        <v>0.35</v>
      </c>
    </row>
    <row r="3049" spans="2:4">
      <c r="B3049" s="145" t="s">
        <v>23</v>
      </c>
      <c r="C3049" s="1">
        <f>C3047*(1-C3048)</f>
        <v>5525000</v>
      </c>
      <c r="D3049" s="1" t="s">
        <v>1320</v>
      </c>
    </row>
    <row r="3050" spans="2:4">
      <c r="B3050" s="145"/>
    </row>
    <row r="3051" spans="2:4">
      <c r="B3051" s="2" t="s">
        <v>1020</v>
      </c>
      <c r="C3051" s="1" t="s">
        <v>1015</v>
      </c>
      <c r="D3051" s="1" t="s">
        <v>1021</v>
      </c>
    </row>
    <row r="3052" spans="2:4">
      <c r="B3052" s="145" t="s">
        <v>1022</v>
      </c>
      <c r="C3052" s="1">
        <v>75000000</v>
      </c>
      <c r="D3052" s="1" t="s">
        <v>735</v>
      </c>
    </row>
    <row r="3053" spans="2:4">
      <c r="B3053" s="145" t="s">
        <v>1023</v>
      </c>
      <c r="C3053" s="1">
        <v>15</v>
      </c>
    </row>
    <row r="3054" spans="2:4">
      <c r="B3054" s="145" t="s">
        <v>205</v>
      </c>
      <c r="C3054" s="1">
        <v>7</v>
      </c>
    </row>
    <row r="3055" spans="2:4">
      <c r="B3055" s="145"/>
    </row>
    <row r="3056" spans="2:4">
      <c r="B3056" s="2" t="s">
        <v>1026</v>
      </c>
      <c r="C3056" s="1" t="s">
        <v>1015</v>
      </c>
      <c r="D3056" s="1" t="s">
        <v>1021</v>
      </c>
    </row>
    <row r="3057" spans="2:4">
      <c r="B3057" s="145" t="s">
        <v>1022</v>
      </c>
      <c r="C3057" s="1">
        <v>945000000</v>
      </c>
      <c r="D3057" s="1" t="s">
        <v>735</v>
      </c>
    </row>
    <row r="3058" spans="2:4">
      <c r="B3058" s="145" t="s">
        <v>15</v>
      </c>
      <c r="C3058" s="139">
        <v>0.15</v>
      </c>
      <c r="D3058" s="139">
        <v>0.5</v>
      </c>
    </row>
    <row r="3059" spans="2:4">
      <c r="B3059" s="145" t="s">
        <v>15</v>
      </c>
      <c r="C3059" s="139">
        <v>0.25</v>
      </c>
      <c r="D3059" s="139">
        <v>0.4</v>
      </c>
    </row>
    <row r="3060" spans="2:4">
      <c r="B3060" s="145" t="s">
        <v>15</v>
      </c>
      <c r="C3060" s="139">
        <v>0.6</v>
      </c>
      <c r="D3060" s="139">
        <v>0.3</v>
      </c>
    </row>
    <row r="3061" spans="2:4">
      <c r="B3061" s="145"/>
      <c r="C3061" s="139"/>
      <c r="D3061" s="139"/>
    </row>
    <row r="3062" spans="2:4">
      <c r="B3062" s="2" t="s">
        <v>1027</v>
      </c>
      <c r="C3062" s="1" t="s">
        <v>1015</v>
      </c>
      <c r="D3062" s="1" t="s">
        <v>1021</v>
      </c>
    </row>
    <row r="3063" spans="2:4">
      <c r="B3063" s="145" t="s">
        <v>1022</v>
      </c>
      <c r="C3063" s="1">
        <v>115000000</v>
      </c>
      <c r="D3063" s="1" t="s">
        <v>735</v>
      </c>
    </row>
    <row r="3064" spans="2:4">
      <c r="B3064" s="145" t="s">
        <v>177</v>
      </c>
      <c r="C3064" s="105">
        <v>2013</v>
      </c>
      <c r="D3064" s="1" t="s">
        <v>1029</v>
      </c>
    </row>
    <row r="3065" spans="2:4">
      <c r="B3065" s="145" t="s">
        <v>83</v>
      </c>
      <c r="C3065" s="105">
        <v>2018</v>
      </c>
      <c r="D3065" s="1" t="s">
        <v>1029</v>
      </c>
    </row>
    <row r="3066" spans="2:4">
      <c r="B3066" s="145" t="s">
        <v>792</v>
      </c>
      <c r="C3066" s="105">
        <v>17</v>
      </c>
      <c r="D3066" s="1" t="s">
        <v>1028</v>
      </c>
    </row>
    <row r="3067" spans="2:4">
      <c r="B3067" s="208" t="s">
        <v>205</v>
      </c>
      <c r="C3067" s="111">
        <f>C3065-C3064</f>
        <v>5</v>
      </c>
      <c r="D3067" s="1" t="s">
        <v>1028</v>
      </c>
    </row>
    <row r="3068" spans="2:4">
      <c r="B3068" s="145" t="s">
        <v>1031</v>
      </c>
      <c r="C3068" s="105">
        <v>2.2400000000000002</v>
      </c>
    </row>
    <row r="3069" spans="2:4">
      <c r="B3069" s="145" t="s">
        <v>1032</v>
      </c>
      <c r="C3069" s="105">
        <v>3.56</v>
      </c>
    </row>
    <row r="3070" spans="2:4">
      <c r="B3070" s="145"/>
      <c r="C3070" s="139"/>
    </row>
    <row r="3071" spans="2:4">
      <c r="B3071" s="2" t="s">
        <v>1322</v>
      </c>
      <c r="C3071" s="1" t="s">
        <v>1025</v>
      </c>
    </row>
    <row r="3072" spans="2:4">
      <c r="B3072" s="145" t="s">
        <v>23</v>
      </c>
      <c r="C3072" s="1">
        <v>185000000</v>
      </c>
      <c r="D3072" s="1" t="s">
        <v>734</v>
      </c>
    </row>
    <row r="3073" spans="2:4">
      <c r="B3073" s="145" t="s">
        <v>23</v>
      </c>
      <c r="C3073" s="1">
        <f>C3072/1.18</f>
        <v>156779661.01694915</v>
      </c>
      <c r="D3073" s="1" t="s">
        <v>735</v>
      </c>
    </row>
    <row r="3074" spans="2:4">
      <c r="B3074" s="145"/>
      <c r="C3074" s="139"/>
    </row>
    <row r="3075" spans="2:4">
      <c r="B3075" s="2" t="s">
        <v>1534</v>
      </c>
      <c r="C3075" s="2">
        <v>800000000</v>
      </c>
      <c r="D3075" s="1" t="s">
        <v>735</v>
      </c>
    </row>
    <row r="3077" spans="2:4">
      <c r="B3077" s="1" t="s">
        <v>1034</v>
      </c>
    </row>
    <row r="3078" spans="2:4">
      <c r="B3078" s="2" t="s">
        <v>1035</v>
      </c>
      <c r="C3078" s="2">
        <f>C3032+C3037+C3042+C3044</f>
        <v>160178571.42857143</v>
      </c>
    </row>
    <row r="3079" spans="2:4">
      <c r="B3079" s="2"/>
    </row>
    <row r="3080" spans="2:4">
      <c r="B3080" s="1" t="s">
        <v>1036</v>
      </c>
    </row>
    <row r="3081" spans="2:4">
      <c r="B3081" s="145" t="s">
        <v>82</v>
      </c>
      <c r="C3081" s="146">
        <f>C3054/C3053</f>
        <v>0.46666666666666667</v>
      </c>
      <c r="D3081" s="35" t="s">
        <v>1047</v>
      </c>
    </row>
    <row r="3082" spans="2:4">
      <c r="B3082" s="145" t="s">
        <v>13</v>
      </c>
      <c r="C3082" s="1">
        <f>C3052*(1-C3081)</f>
        <v>40000000</v>
      </c>
    </row>
    <row r="3083" spans="2:4">
      <c r="B3083" s="1" t="s">
        <v>1037</v>
      </c>
    </row>
    <row r="3084" spans="2:4">
      <c r="B3084" s="145" t="s">
        <v>82</v>
      </c>
      <c r="C3084" s="146">
        <f>C3058*D3058+C3059*D3059+C3060*D3060</f>
        <v>0.35499999999999998</v>
      </c>
      <c r="D3084" s="35" t="s">
        <v>1050</v>
      </c>
    </row>
    <row r="3085" spans="2:4">
      <c r="B3085" s="145" t="s">
        <v>13</v>
      </c>
      <c r="C3085" s="1">
        <f>C3057*(1-C3084)</f>
        <v>609525000</v>
      </c>
    </row>
    <row r="3086" spans="2:4">
      <c r="B3086" s="1" t="s">
        <v>1038</v>
      </c>
    </row>
    <row r="3087" spans="2:4">
      <c r="B3087" s="145" t="s">
        <v>15</v>
      </c>
      <c r="C3087" s="146">
        <f>C3067/C3066</f>
        <v>0.29411764705882354</v>
      </c>
      <c r="D3087" s="35" t="s">
        <v>1047</v>
      </c>
    </row>
    <row r="3088" spans="2:4">
      <c r="B3088" s="145" t="s">
        <v>1354</v>
      </c>
      <c r="C3088" s="1">
        <f>C3068/C3069</f>
        <v>0.62921348314606751</v>
      </c>
      <c r="D3088" s="35"/>
    </row>
    <row r="3089" spans="2:9">
      <c r="B3089" s="145" t="s">
        <v>562</v>
      </c>
      <c r="C3089" s="136">
        <f>C3063*C3088</f>
        <v>72359550.561797768</v>
      </c>
      <c r="D3089" s="35" t="s">
        <v>1048</v>
      </c>
    </row>
    <row r="3090" spans="2:9">
      <c r="B3090" s="145" t="s">
        <v>13</v>
      </c>
      <c r="C3090" s="1">
        <f>C3089*(1-C3087)</f>
        <v>51077329.808327831</v>
      </c>
      <c r="D3090" s="35" t="s">
        <v>1326</v>
      </c>
    </row>
    <row r="3091" spans="2:9">
      <c r="B3091" s="2" t="s">
        <v>1040</v>
      </c>
      <c r="C3091" s="2">
        <f>C3049+C3082+C3085+C3090</f>
        <v>706127329.80832779</v>
      </c>
      <c r="D3091" s="35"/>
    </row>
    <row r="3093" spans="2:9">
      <c r="B3093" s="2" t="s">
        <v>1041</v>
      </c>
      <c r="C3093" s="2">
        <f>C3075-C3078-C3073</f>
        <v>483041767.55447936</v>
      </c>
      <c r="D3093" s="35" t="s">
        <v>1537</v>
      </c>
    </row>
    <row r="3094" spans="2:9">
      <c r="D3094" s="136"/>
    </row>
    <row r="3095" spans="2:9">
      <c r="B3095" s="2" t="s">
        <v>1538</v>
      </c>
      <c r="C3095" s="147">
        <f>1-C3093/C3091</f>
        <v>0.31592823678755377</v>
      </c>
      <c r="D3095" s="136"/>
    </row>
    <row r="3096" spans="2:9">
      <c r="D3096" s="136"/>
    </row>
    <row r="3097" spans="2:9">
      <c r="B3097" s="2" t="s">
        <v>1553</v>
      </c>
      <c r="C3097" s="11">
        <f>C3089</f>
        <v>72359550.561797768</v>
      </c>
      <c r="D3097" s="35" t="s">
        <v>1554</v>
      </c>
    </row>
    <row r="3099" spans="2:9" ht="19.5" thickBot="1"/>
    <row r="3100" spans="2:9" ht="137.25" customHeight="1" thickBot="1">
      <c r="B3100" s="226" t="s">
        <v>1639</v>
      </c>
      <c r="C3100" s="227"/>
      <c r="D3100" s="227"/>
      <c r="E3100" s="227"/>
      <c r="F3100" s="227"/>
      <c r="G3100" s="227"/>
      <c r="H3100" s="227"/>
      <c r="I3100" s="228"/>
    </row>
    <row r="3101" spans="2:9" ht="19.5" thickBot="1"/>
    <row r="3102" spans="2:9">
      <c r="B3102" s="57"/>
      <c r="C3102" s="58" t="s">
        <v>522</v>
      </c>
      <c r="D3102" s="58" t="s">
        <v>1329</v>
      </c>
      <c r="E3102" s="59" t="s">
        <v>521</v>
      </c>
    </row>
    <row r="3103" spans="2:9">
      <c r="B3103" s="60" t="s">
        <v>523</v>
      </c>
      <c r="C3103" s="5">
        <v>2</v>
      </c>
      <c r="D3103" s="5">
        <v>5</v>
      </c>
      <c r="E3103" s="66">
        <v>0</v>
      </c>
    </row>
    <row r="3104" spans="2:9">
      <c r="B3104" s="60" t="s">
        <v>524</v>
      </c>
      <c r="C3104" s="22">
        <v>0.5</v>
      </c>
      <c r="D3104" s="22">
        <v>0</v>
      </c>
      <c r="E3104" s="61"/>
    </row>
    <row r="3105" spans="2:7">
      <c r="B3105" s="60" t="s">
        <v>525</v>
      </c>
      <c r="C3105" s="5">
        <v>4</v>
      </c>
      <c r="D3105" s="5">
        <v>0</v>
      </c>
      <c r="E3105" s="61"/>
    </row>
    <row r="3106" spans="2:7">
      <c r="B3106" s="60" t="s">
        <v>1330</v>
      </c>
      <c r="C3106" s="165"/>
      <c r="D3106" s="213">
        <v>-1</v>
      </c>
      <c r="E3106" s="61"/>
      <c r="F3106" s="35" t="s">
        <v>1556</v>
      </c>
    </row>
    <row r="3107" spans="2:7">
      <c r="B3107" s="60" t="s">
        <v>527</v>
      </c>
      <c r="C3107" s="53">
        <f>C3105+C3106</f>
        <v>4</v>
      </c>
      <c r="D3107" s="5">
        <v>0</v>
      </c>
      <c r="E3107" s="66">
        <v>4</v>
      </c>
    </row>
    <row r="3108" spans="2:7">
      <c r="B3108" s="60" t="s">
        <v>528</v>
      </c>
      <c r="C3108" s="5"/>
      <c r="D3108" s="5"/>
      <c r="E3108" s="66">
        <v>7</v>
      </c>
    </row>
    <row r="3109" spans="2:7">
      <c r="B3109" s="60" t="s">
        <v>265</v>
      </c>
      <c r="C3109" s="54">
        <f>1/(C3104/C3105)</f>
        <v>8</v>
      </c>
      <c r="D3109" s="196">
        <v>7</v>
      </c>
      <c r="E3109" s="67">
        <f>E3107+E3108</f>
        <v>11</v>
      </c>
    </row>
    <row r="3110" spans="2:7">
      <c r="B3110" s="60" t="s">
        <v>530</v>
      </c>
      <c r="C3110" s="5">
        <v>1</v>
      </c>
      <c r="D3110" s="102">
        <f>1/1.2</f>
        <v>0.83333333333333337</v>
      </c>
      <c r="E3110" s="66">
        <v>1</v>
      </c>
      <c r="F3110" s="24" t="s">
        <v>1334</v>
      </c>
    </row>
    <row r="3111" spans="2:7">
      <c r="B3111" s="60" t="s">
        <v>529</v>
      </c>
      <c r="C3111" s="4">
        <v>200000</v>
      </c>
      <c r="D3111" s="191">
        <f>400000*1.18</f>
        <v>472000</v>
      </c>
      <c r="E3111" s="61">
        <v>300000</v>
      </c>
      <c r="F3111" s="24" t="s">
        <v>1332</v>
      </c>
    </row>
    <row r="3112" spans="2:7">
      <c r="B3112" s="60" t="s">
        <v>532</v>
      </c>
      <c r="C3112" s="166">
        <v>-0.1</v>
      </c>
      <c r="D3112" s="166">
        <v>-0.1</v>
      </c>
      <c r="E3112" s="167">
        <v>-0.1</v>
      </c>
      <c r="F3112" s="24" t="s">
        <v>1331</v>
      </c>
    </row>
    <row r="3113" spans="2:7">
      <c r="B3113" s="60" t="s">
        <v>533</v>
      </c>
      <c r="C3113" s="21">
        <f>C3107/C3109</f>
        <v>0.5</v>
      </c>
      <c r="D3113" s="21">
        <f>D3107/D3109</f>
        <v>0</v>
      </c>
      <c r="E3113" s="62">
        <f>E3107/E3109</f>
        <v>0.36363636363636365</v>
      </c>
      <c r="F3113" s="24" t="s">
        <v>511</v>
      </c>
    </row>
    <row r="3114" spans="2:7">
      <c r="B3114" s="60" t="s">
        <v>534</v>
      </c>
      <c r="C3114" s="4">
        <f>C3111/(1-C3104)</f>
        <v>400000</v>
      </c>
      <c r="D3114" s="4">
        <f>D3111/(1-D3104)</f>
        <v>472000</v>
      </c>
      <c r="E3114" s="61">
        <f>E3111/(1-E3107/E3109)</f>
        <v>471428.57142857142</v>
      </c>
      <c r="F3114" s="24" t="s">
        <v>905</v>
      </c>
    </row>
    <row r="3115" spans="2:7">
      <c r="B3115" s="60" t="s">
        <v>1563</v>
      </c>
      <c r="C3115" s="54">
        <f>C3114*(1+C3112)^C3103</f>
        <v>324000</v>
      </c>
      <c r="D3115" s="54">
        <f>D3114*(1+D3112)^D3103</f>
        <v>278711.28000000009</v>
      </c>
      <c r="E3115" s="69">
        <f>E3114*(1+E3112)^E3103</f>
        <v>471428.57142857142</v>
      </c>
      <c r="F3115" s="2">
        <f>SUM(C3115:E3115)</f>
        <v>1074139.8514285714</v>
      </c>
      <c r="G3115" s="24" t="s">
        <v>548</v>
      </c>
    </row>
    <row r="3116" spans="2:7">
      <c r="B3116" s="60" t="s">
        <v>1564</v>
      </c>
      <c r="C3116" s="4">
        <f>C3115/1.18</f>
        <v>274576.27118644072</v>
      </c>
      <c r="D3116" s="4">
        <f t="shared" ref="D3116:E3116" si="44">D3115/1.18</f>
        <v>236196.00000000009</v>
      </c>
      <c r="E3116" s="61">
        <f t="shared" si="44"/>
        <v>399515.73849878937</v>
      </c>
      <c r="F3116" s="24" t="s">
        <v>537</v>
      </c>
      <c r="G3116" s="24"/>
    </row>
    <row r="3117" spans="2:7">
      <c r="B3117" s="60" t="s">
        <v>1565</v>
      </c>
      <c r="C3117" s="4">
        <f>(C3103+C3107)*C3110</f>
        <v>6</v>
      </c>
      <c r="D3117" s="212">
        <f>D3103*D3110</f>
        <v>4.166666666666667</v>
      </c>
      <c r="E3117" s="61">
        <f>(E3103+E3107)*E3110</f>
        <v>4</v>
      </c>
      <c r="F3117" s="24" t="s">
        <v>1557</v>
      </c>
    </row>
    <row r="3118" spans="2:7">
      <c r="B3118" s="60" t="s">
        <v>1566</v>
      </c>
      <c r="C3118" s="21">
        <f>C3117/C3109</f>
        <v>0.75</v>
      </c>
      <c r="D3118" s="21">
        <f>D3117/D3109</f>
        <v>0.59523809523809523</v>
      </c>
      <c r="E3118" s="62">
        <f>E3117/E3109</f>
        <v>0.36363636363636365</v>
      </c>
      <c r="F3118" s="24" t="s">
        <v>555</v>
      </c>
    </row>
    <row r="3119" spans="2:7">
      <c r="B3119" s="60" t="s">
        <v>1567</v>
      </c>
      <c r="C3119" s="4">
        <f>C3115*C3118</f>
        <v>243000</v>
      </c>
      <c r="D3119" s="4">
        <f>D3115*D3118</f>
        <v>165899.57142857148</v>
      </c>
      <c r="E3119" s="61">
        <f>E3115*E3118</f>
        <v>171428.57142857142</v>
      </c>
      <c r="F3119" s="2">
        <f>SUM(C3119:E3119)</f>
        <v>580328.14285714296</v>
      </c>
      <c r="G3119" s="74">
        <f>F3119/F3115</f>
        <v>0.54027242549964538</v>
      </c>
    </row>
    <row r="3120" spans="2:7">
      <c r="B3120" s="60" t="s">
        <v>1562</v>
      </c>
      <c r="C3120" s="4">
        <f>C3115-C3119</f>
        <v>81000</v>
      </c>
      <c r="D3120" s="4">
        <f>D3115-D3119</f>
        <v>112811.70857142861</v>
      </c>
      <c r="E3120" s="61">
        <f>E3115-E3119</f>
        <v>300000</v>
      </c>
      <c r="F3120" s="2">
        <f>SUM(C3120:E3120)</f>
        <v>493811.70857142861</v>
      </c>
    </row>
    <row r="3121" spans="2:8">
      <c r="B3121" s="60" t="s">
        <v>543</v>
      </c>
      <c r="C3121" s="56">
        <f>C3120/F3120</f>
        <v>0.1640301325262796</v>
      </c>
      <c r="D3121" s="56">
        <f>D3120/F3120</f>
        <v>0.22845085811712923</v>
      </c>
      <c r="E3121" s="70">
        <f>E3120/F3120</f>
        <v>0.6075190093565912</v>
      </c>
    </row>
    <row r="3122" spans="2:8">
      <c r="B3122" s="60" t="s">
        <v>544</v>
      </c>
      <c r="C3122" s="21">
        <f>1/C3109</f>
        <v>0.125</v>
      </c>
      <c r="D3122" s="21">
        <f>1/D3109</f>
        <v>0.14285714285714285</v>
      </c>
      <c r="E3122" s="62">
        <f>1/E3109</f>
        <v>9.0909090909090912E-2</v>
      </c>
      <c r="F3122" s="24" t="s">
        <v>545</v>
      </c>
    </row>
    <row r="3123" spans="2:8" ht="19.5" thickBot="1">
      <c r="B3123" s="63" t="s">
        <v>546</v>
      </c>
      <c r="C3123" s="71">
        <f>C3115*C3122</f>
        <v>40500</v>
      </c>
      <c r="D3123" s="71">
        <f>D3115*D3122</f>
        <v>39815.897142857153</v>
      </c>
      <c r="E3123" s="72">
        <f>E3115*E3122</f>
        <v>42857.142857142855</v>
      </c>
      <c r="F3123" s="2">
        <f>SUM(C3123:E3123)</f>
        <v>123173.04000000001</v>
      </c>
      <c r="G3123" s="74">
        <f>F3123/F3115</f>
        <v>0.11467132500128716</v>
      </c>
      <c r="H3123" s="24" t="s">
        <v>547</v>
      </c>
    </row>
    <row r="3124" spans="2:8">
      <c r="B3124" s="57" t="s">
        <v>1555</v>
      </c>
      <c r="C3124" s="58">
        <f>C3115*(1+C3112)</f>
        <v>291600</v>
      </c>
      <c r="D3124" s="58">
        <f>D3115*(1+D3112)</f>
        <v>250840.15200000009</v>
      </c>
      <c r="E3124" s="59">
        <f>E3115*(1+E3112)</f>
        <v>424285.71428571426</v>
      </c>
      <c r="F3124" s="2">
        <f>SUM(C3124:E3124)</f>
        <v>966725.86628571432</v>
      </c>
      <c r="G3124" s="24"/>
      <c r="H3124" s="24" t="s">
        <v>549</v>
      </c>
    </row>
    <row r="3125" spans="2:8">
      <c r="B3125" s="60" t="s">
        <v>1559</v>
      </c>
      <c r="C3125" s="4">
        <f>C3117+C3110</f>
        <v>7</v>
      </c>
      <c r="D3125" s="4">
        <f>D3117+D3110</f>
        <v>5</v>
      </c>
      <c r="E3125" s="61">
        <f>E3117+E3110</f>
        <v>5</v>
      </c>
    </row>
    <row r="3126" spans="2:8">
      <c r="B3126" s="60" t="s">
        <v>1560</v>
      </c>
      <c r="C3126" s="21">
        <f>C3125/C3109</f>
        <v>0.875</v>
      </c>
      <c r="D3126" s="21">
        <f>D3125/D3109</f>
        <v>0.7142857142857143</v>
      </c>
      <c r="E3126" s="62">
        <f>E3125/E3109</f>
        <v>0.45454545454545453</v>
      </c>
    </row>
    <row r="3127" spans="2:8">
      <c r="B3127" s="60" t="s">
        <v>1560</v>
      </c>
      <c r="C3127" s="4">
        <f>C3124*C3126</f>
        <v>255150</v>
      </c>
      <c r="D3127" s="4">
        <f t="shared" ref="D3127:E3127" si="45">D3124*D3126</f>
        <v>179171.53714285721</v>
      </c>
      <c r="E3127" s="61">
        <f t="shared" si="45"/>
        <v>192857.14285714284</v>
      </c>
      <c r="F3127" s="2">
        <f>SUM(C3127:E3127)</f>
        <v>627178.68000000005</v>
      </c>
      <c r="G3127" s="74">
        <f>F3127/F3124</f>
        <v>0.648765799977714</v>
      </c>
      <c r="H3127" s="24" t="s">
        <v>554</v>
      </c>
    </row>
    <row r="3128" spans="2:8">
      <c r="B3128" s="60" t="s">
        <v>1558</v>
      </c>
      <c r="C3128" s="4">
        <f>C3124/F3124</f>
        <v>0.3016366998851131</v>
      </c>
      <c r="D3128" s="4">
        <f>D3124/F3124</f>
        <v>0.25947392197517211</v>
      </c>
      <c r="E3128" s="61">
        <f>E3124/F3124</f>
        <v>0.43888937813971485</v>
      </c>
      <c r="F3128" s="2"/>
      <c r="G3128" s="51"/>
      <c r="H3128" s="24"/>
    </row>
    <row r="3129" spans="2:8" ht="19.5" thickBot="1">
      <c r="B3129" s="63" t="s">
        <v>1560</v>
      </c>
      <c r="C3129" s="64">
        <f>C3126*C3128</f>
        <v>0.26393211239947395</v>
      </c>
      <c r="D3129" s="64">
        <f t="shared" ref="D3129:E3129" si="46">D3126*D3128</f>
        <v>0.18533851569655152</v>
      </c>
      <c r="E3129" s="65">
        <f t="shared" si="46"/>
        <v>0.19949517188168855</v>
      </c>
      <c r="F3129" s="77">
        <f>SUM(C3129:E3129)</f>
        <v>0.648765799977714</v>
      </c>
      <c r="G3129" s="24" t="s">
        <v>1364</v>
      </c>
      <c r="H3129" s="24"/>
    </row>
    <row r="3130" spans="2:8" ht="19.5" thickBot="1">
      <c r="B3130" s="214" t="s">
        <v>1561</v>
      </c>
      <c r="C3130" s="215">
        <f>C3124-C3127</f>
        <v>36450</v>
      </c>
      <c r="D3130" s="215">
        <f>D3124-D3127</f>
        <v>71668.614857142878</v>
      </c>
      <c r="E3130" s="216">
        <f>E3124-E3127</f>
        <v>231428.57142857142</v>
      </c>
      <c r="F3130" s="11">
        <f>SUM(C3130:E3130)</f>
        <v>339547.18628571427</v>
      </c>
    </row>
    <row r="3132" spans="2:8" ht="19.5" thickBot="1">
      <c r="B3132" s="16" t="s">
        <v>1568</v>
      </c>
    </row>
    <row r="3133" spans="2:8">
      <c r="B3133" s="57"/>
      <c r="C3133" s="58" t="s">
        <v>522</v>
      </c>
      <c r="D3133" s="58" t="s">
        <v>1329</v>
      </c>
      <c r="E3133" s="59" t="s">
        <v>521</v>
      </c>
    </row>
    <row r="3134" spans="2:8">
      <c r="B3134" s="60" t="s">
        <v>523</v>
      </c>
      <c r="C3134" s="5">
        <v>2</v>
      </c>
      <c r="D3134" s="5">
        <v>5</v>
      </c>
      <c r="E3134" s="66">
        <v>0</v>
      </c>
    </row>
    <row r="3135" spans="2:8">
      <c r="B3135" s="60" t="s">
        <v>524</v>
      </c>
      <c r="C3135" s="22">
        <v>0.5</v>
      </c>
      <c r="D3135" s="22">
        <v>0</v>
      </c>
      <c r="E3135" s="61"/>
    </row>
    <row r="3136" spans="2:8">
      <c r="B3136" s="60" t="s">
        <v>525</v>
      </c>
      <c r="C3136" s="5">
        <v>4</v>
      </c>
      <c r="D3136" s="5">
        <v>0</v>
      </c>
      <c r="E3136" s="61"/>
    </row>
    <row r="3137" spans="2:9">
      <c r="B3137" s="60" t="s">
        <v>1330</v>
      </c>
      <c r="C3137" s="5"/>
      <c r="D3137" s="213">
        <v>-1</v>
      </c>
      <c r="E3137" s="61"/>
      <c r="F3137" s="35" t="s">
        <v>1556</v>
      </c>
    </row>
    <row r="3138" spans="2:9">
      <c r="B3138" s="60" t="s">
        <v>1569</v>
      </c>
      <c r="C3138" s="53">
        <f>C3136+C3137</f>
        <v>4</v>
      </c>
      <c r="D3138" s="5">
        <v>0</v>
      </c>
      <c r="E3138" s="66">
        <v>4</v>
      </c>
    </row>
    <row r="3139" spans="2:9">
      <c r="B3139" s="60" t="s">
        <v>528</v>
      </c>
      <c r="C3139" s="5"/>
      <c r="D3139" s="5"/>
      <c r="E3139" s="66">
        <v>7</v>
      </c>
    </row>
    <row r="3140" spans="2:9">
      <c r="B3140" s="60" t="s">
        <v>265</v>
      </c>
      <c r="C3140" s="54">
        <f>1/(C3135/C3136)</f>
        <v>8</v>
      </c>
      <c r="D3140" s="196">
        <v>7</v>
      </c>
      <c r="E3140" s="67">
        <f>E3138+E3139</f>
        <v>11</v>
      </c>
    </row>
    <row r="3141" spans="2:9">
      <c r="B3141" s="60" t="s">
        <v>530</v>
      </c>
      <c r="C3141" s="5">
        <v>1</v>
      </c>
      <c r="D3141" s="102">
        <f>1/1.2</f>
        <v>0.83333333333333337</v>
      </c>
      <c r="E3141" s="66">
        <v>1</v>
      </c>
    </row>
    <row r="3142" spans="2:9">
      <c r="B3142" s="60" t="s">
        <v>529</v>
      </c>
      <c r="C3142" s="4">
        <v>200000</v>
      </c>
      <c r="D3142" s="191">
        <f>400000*1.18</f>
        <v>472000</v>
      </c>
      <c r="E3142" s="61">
        <v>300000</v>
      </c>
    </row>
    <row r="3143" spans="2:9">
      <c r="B3143" s="60" t="s">
        <v>532</v>
      </c>
      <c r="C3143" s="166">
        <v>-0.1</v>
      </c>
      <c r="D3143" s="166">
        <v>-0.1</v>
      </c>
      <c r="E3143" s="167">
        <v>-0.1</v>
      </c>
    </row>
    <row r="3144" spans="2:9">
      <c r="B3144" s="60" t="s">
        <v>1571</v>
      </c>
      <c r="C3144" s="21">
        <f>C3138/C3140</f>
        <v>0.5</v>
      </c>
      <c r="D3144" s="21">
        <f>D3138/D3140</f>
        <v>0</v>
      </c>
      <c r="E3144" s="62">
        <f>E3138/E3140</f>
        <v>0.36363636363636365</v>
      </c>
    </row>
    <row r="3145" spans="2:9">
      <c r="B3145" s="60" t="s">
        <v>534</v>
      </c>
      <c r="C3145" s="4">
        <f>C3142/(1-C3135)</f>
        <v>400000</v>
      </c>
      <c r="D3145" s="4">
        <f>D3142/(1-D3135)</f>
        <v>472000</v>
      </c>
      <c r="E3145" s="61">
        <f>E3142/(1-E3138/E3140)</f>
        <v>471428.57142857142</v>
      </c>
    </row>
    <row r="3146" spans="2:9">
      <c r="B3146" s="60" t="s">
        <v>541</v>
      </c>
      <c r="C3146" s="54">
        <f>C3145*(1+C3143)^(C3134+1)</f>
        <v>291600.00000000006</v>
      </c>
      <c r="D3146" s="54">
        <f>D3145*(1+D3143)^(D3134+1)</f>
        <v>250840.15200000009</v>
      </c>
      <c r="E3146" s="69">
        <f>E3145*(1+E3143)^(E3134+1)</f>
        <v>424285.71428571426</v>
      </c>
      <c r="F3146" s="35"/>
    </row>
    <row r="3147" spans="2:9">
      <c r="B3147" s="60" t="s">
        <v>538</v>
      </c>
      <c r="C3147" s="4">
        <f>C3138+C3134+C3141</f>
        <v>7</v>
      </c>
      <c r="D3147" s="212">
        <f>D3141*(D3134+1)</f>
        <v>5</v>
      </c>
      <c r="E3147" s="61">
        <f>E3138+E3141</f>
        <v>5</v>
      </c>
    </row>
    <row r="3148" spans="2:9">
      <c r="B3148" s="60" t="s">
        <v>371</v>
      </c>
      <c r="C3148" s="21">
        <f>C3147/C3140</f>
        <v>0.875</v>
      </c>
      <c r="D3148" s="21">
        <f>D3147/D3140</f>
        <v>0.7142857142857143</v>
      </c>
      <c r="E3148" s="62">
        <f>E3147/E3140</f>
        <v>0.45454545454545453</v>
      </c>
    </row>
    <row r="3149" spans="2:9" ht="19.5" thickBot="1">
      <c r="B3149" s="63" t="s">
        <v>1570</v>
      </c>
      <c r="C3149" s="71">
        <f>C3146*(1-C3148)</f>
        <v>36450.000000000007</v>
      </c>
      <c r="D3149" s="71">
        <f>D3146*(1-D3148)</f>
        <v>71668.614857142878</v>
      </c>
      <c r="E3149" s="72">
        <f>E3146*(1-E3148)</f>
        <v>231428.57142857139</v>
      </c>
      <c r="F3149" s="11">
        <f>SUM(C3149:E3149)</f>
        <v>339547.18628571427</v>
      </c>
    </row>
    <row r="3151" spans="2:9" ht="19.5" thickBot="1"/>
    <row r="3152" spans="2:9" ht="41.25" customHeight="1" thickBot="1">
      <c r="B3152" s="226" t="s">
        <v>1572</v>
      </c>
      <c r="C3152" s="227"/>
      <c r="D3152" s="227"/>
      <c r="E3152" s="227"/>
      <c r="F3152" s="227"/>
      <c r="G3152" s="227"/>
      <c r="H3152" s="227"/>
      <c r="I3152" s="228"/>
    </row>
    <row r="3154" spans="2:4">
      <c r="C3154" s="121" t="s">
        <v>79</v>
      </c>
      <c r="D3154" s="121" t="s">
        <v>826</v>
      </c>
    </row>
    <row r="3155" spans="2:4">
      <c r="C3155" s="120">
        <v>2016</v>
      </c>
      <c r="D3155" s="217">
        <v>110</v>
      </c>
    </row>
    <row r="3156" spans="2:4">
      <c r="C3156" s="120">
        <v>2017</v>
      </c>
      <c r="D3156" s="217">
        <v>118</v>
      </c>
    </row>
    <row r="3157" spans="2:4">
      <c r="C3157" s="120">
        <v>2018</v>
      </c>
      <c r="D3157" s="217">
        <v>129</v>
      </c>
    </row>
    <row r="3158" spans="2:4">
      <c r="C3158" s="120">
        <v>2019</v>
      </c>
      <c r="D3158" s="217">
        <v>137</v>
      </c>
    </row>
    <row r="3159" spans="2:4">
      <c r="C3159" s="120">
        <v>2020</v>
      </c>
      <c r="D3159" s="217">
        <v>150</v>
      </c>
    </row>
    <row r="3161" spans="2:4">
      <c r="B3161" s="3" t="s">
        <v>1573</v>
      </c>
      <c r="C3161" s="3">
        <v>5000</v>
      </c>
    </row>
    <row r="3162" spans="2:4">
      <c r="B3162" s="6" t="s">
        <v>7</v>
      </c>
      <c r="C3162" s="3"/>
    </row>
    <row r="3163" spans="2:4">
      <c r="B3163" s="3" t="s">
        <v>1574</v>
      </c>
      <c r="C3163" s="3">
        <f>D3159/D3156</f>
        <v>1.271186440677966</v>
      </c>
    </row>
    <row r="3164" spans="2:4">
      <c r="B3164" s="3" t="s">
        <v>1575</v>
      </c>
      <c r="C3164" s="15">
        <f>C3161*C3163</f>
        <v>6355.9322033898306</v>
      </c>
    </row>
  </sheetData>
  <mergeCells count="134">
    <mergeCell ref="B2904:I2904"/>
    <mergeCell ref="B2979:I2979"/>
    <mergeCell ref="B2995:I2995"/>
    <mergeCell ref="B3027:I3027"/>
    <mergeCell ref="B3100:I3100"/>
    <mergeCell ref="B3152:I3152"/>
    <mergeCell ref="B2515:I2515"/>
    <mergeCell ref="B2597:I2597"/>
    <mergeCell ref="B2612:I2612"/>
    <mergeCell ref="B2645:I2645"/>
    <mergeCell ref="B2586:I2586"/>
    <mergeCell ref="B2561:I2561"/>
    <mergeCell ref="B2548:I2548"/>
    <mergeCell ref="B2574:I2574"/>
    <mergeCell ref="B2677:I2677"/>
    <mergeCell ref="B2688:I2688"/>
    <mergeCell ref="B2699:I2699"/>
    <mergeCell ref="B2779:I2779"/>
    <mergeCell ref="B2766:I2766"/>
    <mergeCell ref="B2851:I2851"/>
    <mergeCell ref="B2626:I2626"/>
    <mergeCell ref="B2197:I2197"/>
    <mergeCell ref="B2242:I2242"/>
    <mergeCell ref="B2253:I2253"/>
    <mergeCell ref="B2270:I2270"/>
    <mergeCell ref="B2308:I2308"/>
    <mergeCell ref="B2352:I2352"/>
    <mergeCell ref="B2400:I2400"/>
    <mergeCell ref="B2421:I2421"/>
    <mergeCell ref="B2442:I2442"/>
    <mergeCell ref="B2134:I2134"/>
    <mergeCell ref="B2150:I2150"/>
    <mergeCell ref="B2168:I2168"/>
    <mergeCell ref="B2179:I2179"/>
    <mergeCell ref="B1857:I1857"/>
    <mergeCell ref="B1891:I1891"/>
    <mergeCell ref="B1904:I1904"/>
    <mergeCell ref="B1916:I1916"/>
    <mergeCell ref="B1950:I1950"/>
    <mergeCell ref="B2002:I2002"/>
    <mergeCell ref="B2013:I2013"/>
    <mergeCell ref="B2025:I2025"/>
    <mergeCell ref="B2037:I2037"/>
    <mergeCell ref="B1370:I1370"/>
    <mergeCell ref="B1403:I1403"/>
    <mergeCell ref="B1418:I1418"/>
    <mergeCell ref="B1439:I1439"/>
    <mergeCell ref="B1477:I1477"/>
    <mergeCell ref="B1515:I1515"/>
    <mergeCell ref="B1572:I1572"/>
    <mergeCell ref="B1586:I1586"/>
    <mergeCell ref="B2058:I2058"/>
    <mergeCell ref="B1601:I1601"/>
    <mergeCell ref="B1626:I1626"/>
    <mergeCell ref="B1664:I1664"/>
    <mergeCell ref="B1702:I1702"/>
    <mergeCell ref="B1727:I1727"/>
    <mergeCell ref="B1765:I1765"/>
    <mergeCell ref="B1803:I1803"/>
    <mergeCell ref="B1823:I1823"/>
    <mergeCell ref="B1841:I1841"/>
    <mergeCell ref="B1195:I1195"/>
    <mergeCell ref="B1216:I1216"/>
    <mergeCell ref="B1230:I1230"/>
    <mergeCell ref="B1254:I1254"/>
    <mergeCell ref="B1276:I1276"/>
    <mergeCell ref="B1298:I1298"/>
    <mergeCell ref="B1314:I1314"/>
    <mergeCell ref="B1332:I1332"/>
    <mergeCell ref="B1354:I1354"/>
    <mergeCell ref="B1024:I1024"/>
    <mergeCell ref="B1041:I1041"/>
    <mergeCell ref="B1065:I1065"/>
    <mergeCell ref="B1085:I1085"/>
    <mergeCell ref="B1101:I1101"/>
    <mergeCell ref="B1119:I1119"/>
    <mergeCell ref="B1136:I1136"/>
    <mergeCell ref="B1156:I1156"/>
    <mergeCell ref="B1177:I1177"/>
    <mergeCell ref="B898:I898"/>
    <mergeCell ref="B929:I929"/>
    <mergeCell ref="B949:I949"/>
    <mergeCell ref="B970:I970"/>
    <mergeCell ref="B986:I986"/>
    <mergeCell ref="B832:I832"/>
    <mergeCell ref="B856:I856"/>
    <mergeCell ref="B878:I878"/>
    <mergeCell ref="B1006:I1006"/>
    <mergeCell ref="B2:I2"/>
    <mergeCell ref="B466:I466"/>
    <mergeCell ref="B14:I14"/>
    <mergeCell ref="B32:I32"/>
    <mergeCell ref="B47:I47"/>
    <mergeCell ref="B63:I63"/>
    <mergeCell ref="B84:I84"/>
    <mergeCell ref="B99:I99"/>
    <mergeCell ref="B123:I123"/>
    <mergeCell ref="B135:I135"/>
    <mergeCell ref="B150:I150"/>
    <mergeCell ref="B282:I282"/>
    <mergeCell ref="B300:I300"/>
    <mergeCell ref="B313:I313"/>
    <mergeCell ref="B329:I329"/>
    <mergeCell ref="B348:I348"/>
    <mergeCell ref="B373:I373"/>
    <mergeCell ref="B163:I163"/>
    <mergeCell ref="B179:I179"/>
    <mergeCell ref="B195:I195"/>
    <mergeCell ref="B207:I207"/>
    <mergeCell ref="B221:I221"/>
    <mergeCell ref="B243:I243"/>
    <mergeCell ref="B264:I264"/>
    <mergeCell ref="B397:I397"/>
    <mergeCell ref="B423:I423"/>
    <mergeCell ref="B733:I733"/>
    <mergeCell ref="B751:I751"/>
    <mergeCell ref="B765:I765"/>
    <mergeCell ref="B777:I777"/>
    <mergeCell ref="B792:I792"/>
    <mergeCell ref="B812:I812"/>
    <mergeCell ref="B480:I480"/>
    <mergeCell ref="B499:I499"/>
    <mergeCell ref="B520:I520"/>
    <mergeCell ref="B550:I550"/>
    <mergeCell ref="B566:I566"/>
    <mergeCell ref="B582:I582"/>
    <mergeCell ref="B597:I597"/>
    <mergeCell ref="B621:I621"/>
    <mergeCell ref="B637:I637"/>
    <mergeCell ref="B656:I656"/>
    <mergeCell ref="B670:I670"/>
    <mergeCell ref="B688:I688"/>
    <mergeCell ref="B713:I713"/>
    <mergeCell ref="B443:I443"/>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70967-2E8D-4465-9A50-DFBE3F9EE564}">
  <dimension ref="B1:J1043"/>
  <sheetViews>
    <sheetView zoomScale="130" zoomScaleNormal="130" workbookViewId="0"/>
  </sheetViews>
  <sheetFormatPr defaultColWidth="9.140625" defaultRowHeight="18.75"/>
  <cols>
    <col min="1" max="1" width="2.42578125" style="1" customWidth="1"/>
    <col min="2" max="2" width="45.140625" style="1" bestFit="1" customWidth="1"/>
    <col min="3" max="10" width="18.140625" style="1" customWidth="1"/>
    <col min="11" max="11" width="9.28515625" style="1" bestFit="1" customWidth="1"/>
    <col min="12" max="12" width="12" style="1" bestFit="1" customWidth="1"/>
    <col min="13" max="13" width="9.28515625" style="1" bestFit="1" customWidth="1"/>
    <col min="14" max="16384" width="9.140625" style="1"/>
  </cols>
  <sheetData>
    <row r="1" spans="2:9" ht="6.75" customHeight="1"/>
    <row r="2" spans="2:9" ht="33.75">
      <c r="B2" s="232" t="s">
        <v>2</v>
      </c>
      <c r="C2" s="232"/>
      <c r="D2" s="232"/>
      <c r="E2" s="232"/>
      <c r="F2" s="232"/>
      <c r="G2" s="232"/>
      <c r="H2" s="232"/>
      <c r="I2" s="232"/>
    </row>
    <row r="4" spans="2:9" ht="28.5">
      <c r="B4" s="137" t="s">
        <v>963</v>
      </c>
    </row>
    <row r="5" spans="2:9" ht="29.25">
      <c r="B5" s="138" t="s">
        <v>1114</v>
      </c>
    </row>
    <row r="6" spans="2:9" ht="29.25">
      <c r="B6" s="138" t="s">
        <v>1113</v>
      </c>
    </row>
    <row r="7" spans="2:9" ht="29.25">
      <c r="B7" s="138" t="s">
        <v>1127</v>
      </c>
    </row>
    <row r="10" spans="2:9" ht="19.5" thickBot="1"/>
    <row r="11" spans="2:9" ht="24.75" customHeight="1" thickBot="1">
      <c r="B11" s="226" t="s">
        <v>585</v>
      </c>
      <c r="C11" s="227"/>
      <c r="D11" s="227"/>
      <c r="E11" s="227"/>
      <c r="F11" s="227"/>
      <c r="G11" s="227"/>
      <c r="H11" s="227"/>
      <c r="I11" s="228"/>
    </row>
    <row r="14" spans="2:9">
      <c r="B14" s="3" t="s">
        <v>505</v>
      </c>
      <c r="C14" s="3">
        <v>100000</v>
      </c>
    </row>
    <row r="15" spans="2:9">
      <c r="B15" s="3" t="s">
        <v>586</v>
      </c>
      <c r="C15" s="9">
        <v>0.4</v>
      </c>
    </row>
    <row r="16" spans="2:9">
      <c r="B16" s="3" t="s">
        <v>587</v>
      </c>
      <c r="C16" s="9">
        <v>0.5</v>
      </c>
    </row>
    <row r="17" spans="2:9">
      <c r="B17" s="6" t="s">
        <v>7</v>
      </c>
      <c r="C17" s="3"/>
    </row>
    <row r="18" spans="2:9">
      <c r="B18" s="3" t="s">
        <v>588</v>
      </c>
      <c r="C18" s="3">
        <f>C14/(1-C15)</f>
        <v>166666.66666666669</v>
      </c>
    </row>
    <row r="19" spans="2:9">
      <c r="B19" s="3" t="s">
        <v>13</v>
      </c>
      <c r="C19" s="15">
        <f>C18*(1-C16)</f>
        <v>83333.333333333343</v>
      </c>
    </row>
    <row r="26" spans="2:9" ht="19.5" thickBot="1"/>
    <row r="27" spans="2:9" ht="78" customHeight="1" thickBot="1">
      <c r="B27" s="226" t="s">
        <v>589</v>
      </c>
      <c r="C27" s="227"/>
      <c r="D27" s="227"/>
      <c r="E27" s="227"/>
      <c r="F27" s="227"/>
      <c r="G27" s="227"/>
      <c r="H27" s="227"/>
      <c r="I27" s="228"/>
    </row>
    <row r="30" spans="2:9">
      <c r="B30" s="3" t="s">
        <v>590</v>
      </c>
      <c r="C30" s="4" t="s">
        <v>241</v>
      </c>
      <c r="D30" s="4" t="s">
        <v>242</v>
      </c>
    </row>
    <row r="31" spans="2:9">
      <c r="B31" s="3" t="s">
        <v>591</v>
      </c>
      <c r="C31" s="79" t="s">
        <v>592</v>
      </c>
      <c r="D31" s="79" t="s">
        <v>592</v>
      </c>
    </row>
    <row r="32" spans="2:9">
      <c r="B32" s="3" t="s">
        <v>593</v>
      </c>
      <c r="C32" s="4">
        <v>350000</v>
      </c>
      <c r="D32" s="4">
        <v>2000000</v>
      </c>
    </row>
    <row r="33" spans="2:4">
      <c r="B33" s="3" t="s">
        <v>97</v>
      </c>
      <c r="C33" s="19">
        <v>2000</v>
      </c>
      <c r="D33" s="19">
        <v>2003</v>
      </c>
    </row>
    <row r="34" spans="2:4">
      <c r="B34" s="3" t="s">
        <v>594</v>
      </c>
      <c r="C34" s="79" t="s">
        <v>595</v>
      </c>
      <c r="D34" s="79" t="s">
        <v>595</v>
      </c>
    </row>
    <row r="35" spans="2:4" ht="37.5">
      <c r="B35" s="80" t="s">
        <v>596</v>
      </c>
      <c r="C35" s="81" t="s">
        <v>597</v>
      </c>
      <c r="D35" s="81" t="s">
        <v>598</v>
      </c>
    </row>
    <row r="36" spans="2:4">
      <c r="B36" s="3" t="s">
        <v>599</v>
      </c>
      <c r="C36" s="5">
        <v>5</v>
      </c>
      <c r="D36" s="5">
        <v>12</v>
      </c>
    </row>
    <row r="37" spans="2:4">
      <c r="B37" s="3" t="s">
        <v>600</v>
      </c>
      <c r="C37" s="4" t="s">
        <v>601</v>
      </c>
      <c r="D37" s="4" t="s">
        <v>602</v>
      </c>
    </row>
    <row r="39" spans="2:4">
      <c r="B39" s="24" t="s">
        <v>603</v>
      </c>
    </row>
    <row r="40" spans="2:4">
      <c r="B40" s="3" t="s">
        <v>604</v>
      </c>
      <c r="C40" s="4" t="s">
        <v>606</v>
      </c>
    </row>
    <row r="41" spans="2:4">
      <c r="B41" s="3" t="s">
        <v>601</v>
      </c>
      <c r="C41" s="4">
        <v>1</v>
      </c>
    </row>
    <row r="42" spans="2:4">
      <c r="B42" s="3" t="s">
        <v>605</v>
      </c>
      <c r="C42" s="4">
        <v>0.8</v>
      </c>
    </row>
    <row r="43" spans="2:4">
      <c r="B43" s="3" t="s">
        <v>602</v>
      </c>
      <c r="C43" s="4">
        <v>1.3</v>
      </c>
    </row>
    <row r="44" spans="2:4">
      <c r="B44" s="3"/>
      <c r="C44" s="3"/>
    </row>
    <row r="46" spans="2:4">
      <c r="B46" s="24" t="s">
        <v>607</v>
      </c>
    </row>
    <row r="47" spans="2:4">
      <c r="B47" s="3" t="s">
        <v>594</v>
      </c>
      <c r="C47" s="4" t="s">
        <v>608</v>
      </c>
    </row>
    <row r="48" spans="2:4">
      <c r="B48" s="3" t="s">
        <v>609</v>
      </c>
      <c r="C48" s="22">
        <v>-0.25</v>
      </c>
      <c r="D48" s="1">
        <f>D49+C48</f>
        <v>0.75</v>
      </c>
    </row>
    <row r="49" spans="2:4">
      <c r="B49" s="3" t="s">
        <v>610</v>
      </c>
      <c r="C49" s="22">
        <v>0</v>
      </c>
      <c r="D49" s="1">
        <v>1</v>
      </c>
    </row>
    <row r="50" spans="2:4">
      <c r="B50" s="3" t="s">
        <v>611</v>
      </c>
      <c r="C50" s="22">
        <v>0.2</v>
      </c>
      <c r="D50" s="1">
        <f>D49+C50</f>
        <v>1.2</v>
      </c>
    </row>
    <row r="52" spans="2:4">
      <c r="B52" s="24" t="s">
        <v>612</v>
      </c>
    </row>
    <row r="53" spans="2:4">
      <c r="B53" s="3" t="s">
        <v>613</v>
      </c>
      <c r="C53" s="4" t="s">
        <v>614</v>
      </c>
    </row>
    <row r="54" spans="2:4">
      <c r="B54" s="3" t="s">
        <v>615</v>
      </c>
      <c r="C54" s="4">
        <v>250000</v>
      </c>
    </row>
    <row r="55" spans="2:4">
      <c r="B55" s="3" t="s">
        <v>616</v>
      </c>
      <c r="C55" s="4">
        <v>300000</v>
      </c>
    </row>
    <row r="56" spans="2:4">
      <c r="B56" s="3" t="s">
        <v>617</v>
      </c>
      <c r="C56" s="4">
        <v>315000</v>
      </c>
    </row>
    <row r="57" spans="2:4">
      <c r="B57" s="3" t="s">
        <v>618</v>
      </c>
      <c r="C57" s="4">
        <v>330000</v>
      </c>
    </row>
    <row r="59" spans="2:4">
      <c r="B59" s="24" t="s">
        <v>619</v>
      </c>
    </row>
    <row r="60" spans="2:4">
      <c r="B60" s="3" t="s">
        <v>596</v>
      </c>
      <c r="C60" s="4" t="s">
        <v>620</v>
      </c>
    </row>
    <row r="61" spans="2:4">
      <c r="B61" s="3" t="s">
        <v>598</v>
      </c>
      <c r="C61" s="4">
        <v>3.5</v>
      </c>
    </row>
    <row r="62" spans="2:4">
      <c r="B62" s="3" t="s">
        <v>597</v>
      </c>
      <c r="C62" s="4">
        <v>1</v>
      </c>
    </row>
    <row r="65" spans="2:7">
      <c r="B65" s="3"/>
      <c r="C65" s="4" t="s">
        <v>4</v>
      </c>
      <c r="D65" s="4" t="s">
        <v>241</v>
      </c>
      <c r="E65" s="4" t="s">
        <v>242</v>
      </c>
    </row>
    <row r="66" spans="2:7">
      <c r="B66" s="3" t="s">
        <v>621</v>
      </c>
      <c r="C66" s="79" t="s">
        <v>592</v>
      </c>
      <c r="D66" s="79" t="s">
        <v>592</v>
      </c>
      <c r="E66" s="79" t="s">
        <v>592</v>
      </c>
    </row>
    <row r="67" spans="2:7">
      <c r="B67" s="3" t="s">
        <v>622</v>
      </c>
      <c r="C67" s="3"/>
      <c r="D67" s="4">
        <v>350000</v>
      </c>
      <c r="E67" s="4">
        <v>2000000</v>
      </c>
    </row>
    <row r="68" spans="2:7">
      <c r="B68" s="3" t="s">
        <v>623</v>
      </c>
      <c r="C68" s="19">
        <v>1999</v>
      </c>
      <c r="D68" s="19">
        <v>2000</v>
      </c>
      <c r="E68" s="19">
        <v>2003</v>
      </c>
    </row>
    <row r="69" spans="2:7">
      <c r="B69" s="82" t="s">
        <v>590</v>
      </c>
      <c r="C69" s="4">
        <v>315000</v>
      </c>
      <c r="D69" s="4">
        <v>315000</v>
      </c>
      <c r="E69" s="4">
        <v>315000</v>
      </c>
    </row>
    <row r="70" spans="2:7">
      <c r="B70" s="82" t="s">
        <v>12</v>
      </c>
      <c r="C70" s="19"/>
      <c r="D70" s="134">
        <f>C69/D69</f>
        <v>1</v>
      </c>
      <c r="E70" s="134">
        <f>C69/E69</f>
        <v>1</v>
      </c>
    </row>
    <row r="71" spans="2:7">
      <c r="B71" s="3" t="s">
        <v>594</v>
      </c>
      <c r="C71" s="79" t="s">
        <v>624</v>
      </c>
      <c r="D71" s="79" t="s">
        <v>595</v>
      </c>
      <c r="E71" s="79" t="s">
        <v>595</v>
      </c>
    </row>
    <row r="72" spans="2:7">
      <c r="B72" s="82" t="s">
        <v>590</v>
      </c>
      <c r="C72" s="79" t="s">
        <v>626</v>
      </c>
      <c r="D72" s="79" t="s">
        <v>627</v>
      </c>
      <c r="E72" s="79" t="s">
        <v>627</v>
      </c>
    </row>
    <row r="73" spans="2:7">
      <c r="B73" s="82" t="s">
        <v>12</v>
      </c>
      <c r="C73" s="79"/>
      <c r="D73" s="134">
        <f>C72/D72</f>
        <v>1.2</v>
      </c>
      <c r="E73" s="134">
        <f>C72/E72</f>
        <v>1.2</v>
      </c>
    </row>
    <row r="74" spans="2:7" ht="37.5">
      <c r="B74" s="80" t="s">
        <v>596</v>
      </c>
      <c r="C74" s="81" t="s">
        <v>597</v>
      </c>
      <c r="D74" s="81" t="s">
        <v>597</v>
      </c>
      <c r="E74" s="81" t="s">
        <v>598</v>
      </c>
    </row>
    <row r="75" spans="2:7">
      <c r="B75" s="80"/>
      <c r="C75" s="79" t="s">
        <v>627</v>
      </c>
      <c r="D75" s="79" t="s">
        <v>627</v>
      </c>
      <c r="E75" s="79" t="s">
        <v>628</v>
      </c>
    </row>
    <row r="76" spans="2:7">
      <c r="B76" s="80"/>
      <c r="C76" s="79"/>
      <c r="D76" s="134">
        <f>C75/D75</f>
        <v>1</v>
      </c>
      <c r="E76" s="134">
        <f>C75/E75</f>
        <v>0.2857142857142857</v>
      </c>
    </row>
    <row r="77" spans="2:7">
      <c r="B77" s="3" t="s">
        <v>625</v>
      </c>
      <c r="C77" s="4" t="s">
        <v>602</v>
      </c>
      <c r="D77" s="4" t="s">
        <v>601</v>
      </c>
      <c r="E77" s="4" t="s">
        <v>602</v>
      </c>
    </row>
    <row r="78" spans="2:7">
      <c r="B78" s="80"/>
      <c r="C78" s="79" t="s">
        <v>629</v>
      </c>
      <c r="D78" s="79" t="s">
        <v>627</v>
      </c>
      <c r="E78" s="79" t="s">
        <v>629</v>
      </c>
    </row>
    <row r="79" spans="2:7">
      <c r="B79" s="80"/>
      <c r="C79" s="79"/>
      <c r="D79" s="134">
        <f>C78/D78</f>
        <v>1.3</v>
      </c>
      <c r="E79" s="134">
        <f>C78/E78</f>
        <v>1</v>
      </c>
      <c r="F79" s="29" t="s">
        <v>464</v>
      </c>
      <c r="G79" s="29" t="s">
        <v>465</v>
      </c>
    </row>
    <row r="80" spans="2:7">
      <c r="B80" s="80"/>
      <c r="C80" s="4"/>
      <c r="D80" s="4">
        <f>D67*D70*D73*D76*D79</f>
        <v>546000</v>
      </c>
      <c r="E80" s="4">
        <f>E67*E70*E73*E76*E79</f>
        <v>685714.28571428568</v>
      </c>
      <c r="F80" s="29">
        <f>LN(D80/E80)</f>
        <v>-0.22784207209576393</v>
      </c>
      <c r="G80" s="29"/>
    </row>
    <row r="81" spans="2:9">
      <c r="B81" s="3" t="s">
        <v>599</v>
      </c>
      <c r="C81" s="5">
        <v>7</v>
      </c>
      <c r="D81" s="5">
        <v>5</v>
      </c>
      <c r="E81" s="5">
        <v>12</v>
      </c>
      <c r="F81" s="29">
        <f>LN(D81/E81)</f>
        <v>-0.87546873735389985</v>
      </c>
      <c r="G81" s="29">
        <f>F80/F81</f>
        <v>0.26025152284068476</v>
      </c>
    </row>
    <row r="82" spans="2:9">
      <c r="B82" s="80" t="s">
        <v>630</v>
      </c>
      <c r="C82" s="4"/>
      <c r="D82" s="4">
        <f>D80*(C81/D81)^G81</f>
        <v>595967.6503876528</v>
      </c>
      <c r="E82" s="4">
        <f>E80*(C81/E81)^G81</f>
        <v>595967.6503876528</v>
      </c>
    </row>
    <row r="83" spans="2:9">
      <c r="B83" s="3" t="s">
        <v>631</v>
      </c>
      <c r="C83" s="15">
        <f>AVERAGE(D82:E82)</f>
        <v>595967.6503876528</v>
      </c>
      <c r="D83" s="3"/>
      <c r="E83" s="3"/>
    </row>
    <row r="84" spans="2:9">
      <c r="B84" s="3" t="s">
        <v>631</v>
      </c>
      <c r="C84" s="15">
        <f>(D82+E82)/2</f>
        <v>595967.6503876528</v>
      </c>
      <c r="D84" s="3"/>
      <c r="E84" s="3"/>
    </row>
    <row r="91" spans="2:9" ht="19.5" thickBot="1"/>
    <row r="92" spans="2:9" ht="40.5" customHeight="1" thickBot="1">
      <c r="B92" s="226" t="s">
        <v>1118</v>
      </c>
      <c r="C92" s="227"/>
      <c r="D92" s="227"/>
      <c r="E92" s="227"/>
      <c r="F92" s="227"/>
      <c r="G92" s="227"/>
      <c r="H92" s="227"/>
      <c r="I92" s="228"/>
    </row>
    <row r="95" spans="2:9">
      <c r="B95" s="3" t="s">
        <v>436</v>
      </c>
      <c r="C95" s="3">
        <v>1500</v>
      </c>
    </row>
    <row r="96" spans="2:9">
      <c r="B96" s="3" t="s">
        <v>82</v>
      </c>
      <c r="C96" s="9">
        <v>0.7</v>
      </c>
      <c r="D96" s="35" t="s">
        <v>76</v>
      </c>
    </row>
    <row r="97" spans="2:9">
      <c r="B97" s="3" t="s">
        <v>10</v>
      </c>
      <c r="C97" s="3">
        <v>30000000</v>
      </c>
      <c r="D97" s="35" t="s">
        <v>76</v>
      </c>
    </row>
    <row r="98" spans="2:9">
      <c r="B98" s="3" t="s">
        <v>632</v>
      </c>
      <c r="C98" s="3">
        <v>5000</v>
      </c>
    </row>
    <row r="99" spans="2:9">
      <c r="B99" s="6" t="s">
        <v>7</v>
      </c>
      <c r="C99" s="3"/>
    </row>
    <row r="100" spans="2:9">
      <c r="B100" s="3" t="s">
        <v>1115</v>
      </c>
      <c r="C100" s="15">
        <f>C98*C95</f>
        <v>7500000</v>
      </c>
    </row>
    <row r="107" spans="2:9" ht="19.5" thickBot="1"/>
    <row r="108" spans="2:9" ht="59.45" customHeight="1" thickBot="1">
      <c r="B108" s="226" t="s">
        <v>1119</v>
      </c>
      <c r="C108" s="227"/>
      <c r="D108" s="227"/>
      <c r="E108" s="227"/>
      <c r="F108" s="227"/>
      <c r="G108" s="227"/>
      <c r="H108" s="227"/>
      <c r="I108" s="228"/>
    </row>
    <row r="111" spans="2:9">
      <c r="B111" s="78" t="s">
        <v>1120</v>
      </c>
    </row>
    <row r="118" spans="2:9" ht="19.5" thickBot="1"/>
    <row r="119" spans="2:9" ht="39" customHeight="1" thickBot="1">
      <c r="B119" s="226" t="s">
        <v>633</v>
      </c>
      <c r="C119" s="227"/>
      <c r="D119" s="227"/>
      <c r="E119" s="227"/>
      <c r="F119" s="227"/>
      <c r="G119" s="227"/>
      <c r="H119" s="227"/>
      <c r="I119" s="228"/>
    </row>
    <row r="122" spans="2:9">
      <c r="B122" s="3" t="s">
        <v>23</v>
      </c>
      <c r="C122" s="3">
        <v>100000</v>
      </c>
    </row>
    <row r="123" spans="2:9">
      <c r="B123" s="3" t="s">
        <v>586</v>
      </c>
      <c r="C123" s="9">
        <v>0.4</v>
      </c>
    </row>
    <row r="124" spans="2:9">
      <c r="B124" s="3" t="s">
        <v>587</v>
      </c>
      <c r="C124" s="9">
        <v>0.6</v>
      </c>
    </row>
    <row r="125" spans="2:9">
      <c r="B125" s="6" t="s">
        <v>7</v>
      </c>
      <c r="C125" s="3"/>
    </row>
    <row r="126" spans="2:9">
      <c r="B126" s="3" t="s">
        <v>635</v>
      </c>
      <c r="C126" s="15">
        <f>(1-C124)/(1-C123)</f>
        <v>0.66666666666666674</v>
      </c>
      <c r="D126" s="24" t="s">
        <v>634</v>
      </c>
    </row>
    <row r="133" spans="2:9" ht="19.5" thickBot="1"/>
    <row r="134" spans="2:9" ht="101.25" customHeight="1" thickBot="1">
      <c r="B134" s="226" t="s">
        <v>636</v>
      </c>
      <c r="C134" s="227"/>
      <c r="D134" s="227"/>
      <c r="E134" s="227"/>
      <c r="F134" s="227"/>
      <c r="G134" s="227"/>
      <c r="H134" s="227"/>
      <c r="I134" s="228"/>
    </row>
    <row r="137" spans="2:9">
      <c r="B137" s="3" t="s">
        <v>637</v>
      </c>
      <c r="C137" s="3">
        <v>30</v>
      </c>
    </row>
    <row r="138" spans="2:9">
      <c r="B138" s="3" t="s">
        <v>638</v>
      </c>
      <c r="C138" s="3">
        <v>35</v>
      </c>
    </row>
    <row r="139" spans="2:9">
      <c r="B139" s="3" t="s">
        <v>639</v>
      </c>
      <c r="C139" s="3">
        <v>100000</v>
      </c>
    </row>
    <row r="140" spans="2:9">
      <c r="B140" s="6" t="s">
        <v>7</v>
      </c>
      <c r="C140" s="3"/>
    </row>
    <row r="141" spans="2:9">
      <c r="B141" s="3" t="s">
        <v>13</v>
      </c>
      <c r="C141" s="15">
        <f>C139*(C137/C138)^0.8</f>
        <v>88398.026269503855</v>
      </c>
      <c r="D141" s="24" t="s">
        <v>640</v>
      </c>
    </row>
    <row r="148" spans="2:9" ht="19.5" thickBot="1"/>
    <row r="149" spans="2:9" ht="76.5" customHeight="1" thickBot="1">
      <c r="B149" s="226" t="s">
        <v>641</v>
      </c>
      <c r="C149" s="227"/>
      <c r="D149" s="227"/>
      <c r="E149" s="227"/>
      <c r="F149" s="227"/>
      <c r="G149" s="227"/>
      <c r="H149" s="227"/>
      <c r="I149" s="228"/>
    </row>
    <row r="152" spans="2:9">
      <c r="B152" s="3"/>
      <c r="C152" s="4" t="s">
        <v>645</v>
      </c>
      <c r="D152" s="4" t="s">
        <v>646</v>
      </c>
      <c r="E152" s="3" t="s">
        <v>647</v>
      </c>
    </row>
    <row r="153" spans="2:9">
      <c r="B153" s="3" t="s">
        <v>642</v>
      </c>
      <c r="C153" s="3">
        <v>300000</v>
      </c>
      <c r="D153" s="3">
        <v>260000</v>
      </c>
      <c r="E153" s="30">
        <f>1-D153/C153</f>
        <v>0.1333333333333333</v>
      </c>
      <c r="F153" s="35" t="s">
        <v>1121</v>
      </c>
    </row>
    <row r="154" spans="2:9">
      <c r="B154" s="3" t="s">
        <v>643</v>
      </c>
      <c r="C154" s="3">
        <v>500000</v>
      </c>
      <c r="D154" s="3">
        <v>440000</v>
      </c>
      <c r="E154" s="30">
        <f t="shared" ref="E154:E155" si="0">1-D154/C154</f>
        <v>0.12</v>
      </c>
    </row>
    <row r="155" spans="2:9">
      <c r="B155" s="3" t="s">
        <v>644</v>
      </c>
      <c r="C155" s="3">
        <v>400000</v>
      </c>
      <c r="D155" s="3">
        <v>350000</v>
      </c>
      <c r="E155" s="30">
        <f t="shared" si="0"/>
        <v>0.125</v>
      </c>
    </row>
    <row r="156" spans="2:9">
      <c r="B156" s="3" t="s">
        <v>631</v>
      </c>
      <c r="C156" s="3"/>
      <c r="D156" s="3"/>
      <c r="E156" s="162">
        <f>AVERAGE(E153:E155)</f>
        <v>0.12611111111111109</v>
      </c>
    </row>
    <row r="163" spans="2:9" ht="19.5" thickBot="1"/>
    <row r="164" spans="2:9" ht="59.25" customHeight="1" thickBot="1">
      <c r="B164" s="226" t="s">
        <v>648</v>
      </c>
      <c r="C164" s="227"/>
      <c r="D164" s="227"/>
      <c r="E164" s="227"/>
      <c r="F164" s="227"/>
      <c r="G164" s="227"/>
      <c r="H164" s="227"/>
      <c r="I164" s="228"/>
    </row>
    <row r="167" spans="2:9">
      <c r="B167" s="3" t="s">
        <v>200</v>
      </c>
      <c r="C167" s="4" t="s">
        <v>4</v>
      </c>
      <c r="D167" s="4" t="s">
        <v>241</v>
      </c>
      <c r="E167" s="4" t="s">
        <v>242</v>
      </c>
      <c r="F167" s="4" t="s">
        <v>561</v>
      </c>
      <c r="G167" s="4" t="s">
        <v>649</v>
      </c>
      <c r="H167" s="4" t="s">
        <v>650</v>
      </c>
    </row>
    <row r="168" spans="2:9">
      <c r="B168" s="3" t="s">
        <v>651</v>
      </c>
      <c r="C168" s="4" t="s">
        <v>652</v>
      </c>
      <c r="D168" s="4" t="s">
        <v>652</v>
      </c>
      <c r="E168" s="4" t="s">
        <v>652</v>
      </c>
      <c r="F168" s="84" t="s">
        <v>653</v>
      </c>
      <c r="G168" s="4" t="s">
        <v>652</v>
      </c>
      <c r="H168" s="4" t="s">
        <v>652</v>
      </c>
    </row>
    <row r="169" spans="2:9">
      <c r="B169" s="3" t="s">
        <v>623</v>
      </c>
      <c r="C169" s="19">
        <v>2010</v>
      </c>
      <c r="D169" s="19">
        <v>2008</v>
      </c>
      <c r="E169" s="19">
        <v>2010</v>
      </c>
      <c r="F169" s="19">
        <v>2009</v>
      </c>
      <c r="G169" s="19">
        <v>2010</v>
      </c>
      <c r="H169" s="85">
        <v>2015</v>
      </c>
    </row>
    <row r="170" spans="2:9">
      <c r="B170" s="3" t="s">
        <v>654</v>
      </c>
      <c r="C170" s="19">
        <v>495045</v>
      </c>
      <c r="D170" s="85">
        <v>830000</v>
      </c>
      <c r="E170" s="19">
        <v>515000</v>
      </c>
      <c r="F170" s="19">
        <v>600000</v>
      </c>
      <c r="G170" s="19">
        <v>470000</v>
      </c>
      <c r="H170" s="85">
        <v>90000</v>
      </c>
    </row>
    <row r="171" spans="2:9">
      <c r="B171" s="3" t="s">
        <v>243</v>
      </c>
      <c r="C171" s="4"/>
      <c r="D171" s="4">
        <v>2500000</v>
      </c>
      <c r="E171" s="4">
        <v>1900000</v>
      </c>
      <c r="F171" s="4">
        <v>900000</v>
      </c>
      <c r="G171" s="4">
        <v>2000000</v>
      </c>
      <c r="H171" s="4">
        <v>5000000</v>
      </c>
    </row>
    <row r="172" spans="2:9">
      <c r="B172" s="3" t="s">
        <v>621</v>
      </c>
      <c r="C172" s="86">
        <v>42735</v>
      </c>
      <c r="D172" s="86">
        <v>43040</v>
      </c>
      <c r="E172" s="86">
        <v>42719</v>
      </c>
      <c r="F172" s="86">
        <v>42675</v>
      </c>
      <c r="G172" s="86">
        <v>42708</v>
      </c>
      <c r="H172" s="86">
        <v>42775</v>
      </c>
    </row>
    <row r="173" spans="2:9">
      <c r="B173" s="3" t="s">
        <v>655</v>
      </c>
      <c r="C173" s="4"/>
      <c r="D173" s="4"/>
      <c r="E173" s="22">
        <f>C170/E170-1</f>
        <v>-3.8747572815533982E-2</v>
      </c>
      <c r="F173" s="4"/>
      <c r="G173" s="22">
        <f>C170/G170-1</f>
        <v>5.32872340425532E-2</v>
      </c>
      <c r="H173" s="4"/>
    </row>
    <row r="174" spans="2:9">
      <c r="B174" s="3" t="s">
        <v>31</v>
      </c>
      <c r="C174" s="4"/>
      <c r="D174" s="22">
        <v>0.1</v>
      </c>
      <c r="E174" s="22">
        <v>0.1</v>
      </c>
      <c r="F174" s="22">
        <v>0.1</v>
      </c>
      <c r="G174" s="22">
        <v>0.1</v>
      </c>
      <c r="H174" s="22">
        <v>0.1</v>
      </c>
    </row>
    <row r="175" spans="2:9">
      <c r="B175" s="3" t="s">
        <v>656</v>
      </c>
      <c r="C175" s="172">
        <f>AVERAGE(D175:H175)</f>
        <v>1755000</v>
      </c>
      <c r="D175" s="4"/>
      <c r="E175" s="4">
        <f>E171*(1-E174)</f>
        <v>1710000</v>
      </c>
      <c r="F175" s="4"/>
      <c r="G175" s="4">
        <f>G171*(1-G174)</f>
        <v>1800000</v>
      </c>
      <c r="H175" s="4"/>
    </row>
    <row r="176" spans="2:9">
      <c r="C176" s="29"/>
      <c r="D176" s="29"/>
      <c r="E176" s="29"/>
      <c r="F176" s="29"/>
      <c r="G176" s="29"/>
      <c r="H176" s="29"/>
    </row>
    <row r="177" spans="2:9">
      <c r="B177" s="35" t="s">
        <v>891</v>
      </c>
      <c r="C177" s="29"/>
      <c r="D177" s="29"/>
      <c r="E177" s="29"/>
      <c r="F177" s="29"/>
      <c r="G177" s="29"/>
      <c r="H177" s="29"/>
    </row>
    <row r="178" spans="2:9">
      <c r="C178" s="29"/>
      <c r="D178" s="29"/>
      <c r="E178" s="29"/>
      <c r="F178" s="29"/>
      <c r="G178" s="29"/>
      <c r="H178" s="29"/>
    </row>
    <row r="179" spans="2:9">
      <c r="C179" s="29"/>
      <c r="D179" s="29"/>
      <c r="E179" s="29"/>
      <c r="F179" s="29"/>
      <c r="G179" s="29"/>
      <c r="H179" s="29"/>
    </row>
    <row r="180" spans="2:9">
      <c r="C180" s="29"/>
      <c r="D180" s="29"/>
      <c r="E180" s="29"/>
      <c r="F180" s="29"/>
      <c r="G180" s="29"/>
      <c r="H180" s="29"/>
    </row>
    <row r="184" spans="2:9" ht="19.5" thickBot="1"/>
    <row r="185" spans="2:9" ht="77.45" customHeight="1" thickBot="1">
      <c r="B185" s="226" t="s">
        <v>1122</v>
      </c>
      <c r="C185" s="227"/>
      <c r="D185" s="227"/>
      <c r="E185" s="227"/>
      <c r="F185" s="227"/>
      <c r="G185" s="227"/>
      <c r="H185" s="227"/>
      <c r="I185" s="228"/>
    </row>
    <row r="187" spans="2:9">
      <c r="B187" s="35"/>
    </row>
    <row r="188" spans="2:9">
      <c r="B188" s="3" t="s">
        <v>200</v>
      </c>
      <c r="C188" s="4" t="s">
        <v>4</v>
      </c>
      <c r="D188" s="4" t="s">
        <v>241</v>
      </c>
      <c r="E188" s="4" t="s">
        <v>242</v>
      </c>
      <c r="F188" s="4" t="s">
        <v>561</v>
      </c>
      <c r="G188" s="4" t="s">
        <v>649</v>
      </c>
      <c r="H188" s="4" t="s">
        <v>650</v>
      </c>
    </row>
    <row r="189" spans="2:9">
      <c r="B189" s="3" t="s">
        <v>623</v>
      </c>
      <c r="C189" s="19">
        <v>2007</v>
      </c>
      <c r="D189" s="85">
        <v>2006</v>
      </c>
      <c r="E189" s="19">
        <v>2007</v>
      </c>
      <c r="F189" s="19">
        <v>2007</v>
      </c>
      <c r="G189" s="19">
        <v>2007</v>
      </c>
      <c r="H189" s="19">
        <v>2007</v>
      </c>
    </row>
    <row r="190" spans="2:9">
      <c r="B190" s="3" t="s">
        <v>657</v>
      </c>
      <c r="C190" s="4"/>
      <c r="D190" s="4">
        <v>90000</v>
      </c>
      <c r="E190" s="4">
        <v>105000</v>
      </c>
      <c r="F190" s="4">
        <v>100000</v>
      </c>
      <c r="G190" s="4">
        <v>105000</v>
      </c>
      <c r="H190" s="4">
        <v>95000</v>
      </c>
    </row>
    <row r="191" spans="2:9">
      <c r="B191" s="3" t="s">
        <v>658</v>
      </c>
      <c r="C191" s="79" t="s">
        <v>659</v>
      </c>
      <c r="D191" s="79" t="s">
        <v>659</v>
      </c>
      <c r="E191" s="79" t="s">
        <v>660</v>
      </c>
      <c r="F191" s="79" t="s">
        <v>659</v>
      </c>
      <c r="G191" s="87" t="s">
        <v>661</v>
      </c>
      <c r="H191" s="79" t="s">
        <v>659</v>
      </c>
    </row>
    <row r="192" spans="2:9">
      <c r="B192" s="35" t="s">
        <v>891</v>
      </c>
    </row>
    <row r="194" spans="2:4">
      <c r="B194" s="3" t="s">
        <v>662</v>
      </c>
      <c r="C194" s="10">
        <f>(E190+F190+H190)/3</f>
        <v>100000</v>
      </c>
      <c r="D194" s="35" t="s">
        <v>663</v>
      </c>
    </row>
    <row r="195" spans="2:4">
      <c r="B195" s="3" t="s">
        <v>664</v>
      </c>
      <c r="C195" s="3">
        <v>200000</v>
      </c>
    </row>
    <row r="196" spans="2:4">
      <c r="B196" s="3" t="s">
        <v>665</v>
      </c>
      <c r="C196" s="9">
        <v>0.3</v>
      </c>
    </row>
    <row r="197" spans="2:4">
      <c r="B197" s="3" t="s">
        <v>665</v>
      </c>
      <c r="C197" s="3">
        <f>C195*C196</f>
        <v>60000</v>
      </c>
    </row>
    <row r="198" spans="2:4">
      <c r="B198" s="3" t="s">
        <v>666</v>
      </c>
      <c r="C198" s="3">
        <v>1.2</v>
      </c>
    </row>
    <row r="199" spans="2:4">
      <c r="B199" s="3" t="s">
        <v>667</v>
      </c>
      <c r="C199" s="3">
        <f>C197*C198</f>
        <v>72000</v>
      </c>
    </row>
    <row r="200" spans="2:4">
      <c r="B200" s="3" t="s">
        <v>668</v>
      </c>
      <c r="C200" s="9">
        <v>0.5</v>
      </c>
    </row>
    <row r="201" spans="2:4">
      <c r="B201" s="3" t="s">
        <v>668</v>
      </c>
      <c r="C201" s="3">
        <f>C199*C200</f>
        <v>36000</v>
      </c>
    </row>
    <row r="202" spans="2:4">
      <c r="B202" s="3" t="s">
        <v>669</v>
      </c>
      <c r="C202" s="9">
        <v>0.05</v>
      </c>
    </row>
    <row r="203" spans="2:4">
      <c r="B203" s="3" t="s">
        <v>669</v>
      </c>
      <c r="C203" s="3">
        <f>C194*C202</f>
        <v>5000</v>
      </c>
    </row>
    <row r="204" spans="2:4">
      <c r="B204" s="3" t="s">
        <v>670</v>
      </c>
      <c r="C204" s="15">
        <f>C194-C201-C203</f>
        <v>59000</v>
      </c>
    </row>
    <row r="211" spans="2:9" ht="19.5" thickBot="1"/>
    <row r="212" spans="2:9" ht="40.5" customHeight="1" thickBot="1">
      <c r="B212" s="226" t="s">
        <v>1123</v>
      </c>
      <c r="C212" s="227"/>
      <c r="D212" s="227"/>
      <c r="E212" s="227"/>
      <c r="F212" s="227"/>
      <c r="G212" s="227"/>
      <c r="H212" s="227"/>
      <c r="I212" s="228"/>
    </row>
    <row r="215" spans="2:9">
      <c r="B215" s="78" t="s">
        <v>671</v>
      </c>
      <c r="C215" s="24" t="s">
        <v>672</v>
      </c>
    </row>
    <row r="222" spans="2:9" ht="19.5" thickBot="1"/>
    <row r="223" spans="2:9" ht="60" customHeight="1" thickBot="1">
      <c r="B223" s="226" t="s">
        <v>673</v>
      </c>
      <c r="C223" s="227"/>
      <c r="D223" s="227"/>
      <c r="E223" s="227"/>
      <c r="F223" s="227"/>
      <c r="G223" s="227"/>
      <c r="H223" s="227"/>
      <c r="I223" s="228"/>
    </row>
    <row r="226" spans="2:9">
      <c r="B226" s="3" t="s">
        <v>674</v>
      </c>
      <c r="C226" s="3">
        <v>250</v>
      </c>
    </row>
    <row r="227" spans="2:9">
      <c r="B227" s="3" t="s">
        <v>436</v>
      </c>
      <c r="C227" s="3">
        <v>2.2000000000000002</v>
      </c>
    </row>
    <row r="228" spans="2:9">
      <c r="B228" s="6" t="s">
        <v>7</v>
      </c>
      <c r="C228" s="3"/>
    </row>
    <row r="229" spans="2:9">
      <c r="B229" s="3" t="s">
        <v>274</v>
      </c>
      <c r="C229" s="15">
        <f>1.888*C226^0.4*C227^0.7*2^0.2</f>
        <v>34.283082922072957</v>
      </c>
      <c r="D229" s="24" t="s">
        <v>675</v>
      </c>
    </row>
    <row r="236" spans="2:9" ht="19.5" thickBot="1"/>
    <row r="237" spans="2:9" ht="39.75" customHeight="1" thickBot="1">
      <c r="B237" s="226" t="s">
        <v>676</v>
      </c>
      <c r="C237" s="227"/>
      <c r="D237" s="227"/>
      <c r="E237" s="227"/>
      <c r="F237" s="227"/>
      <c r="G237" s="227"/>
      <c r="H237" s="227"/>
      <c r="I237" s="228"/>
    </row>
    <row r="240" spans="2:9">
      <c r="B240" s="3" t="s">
        <v>677</v>
      </c>
      <c r="C240" s="3">
        <v>35000</v>
      </c>
    </row>
    <row r="241" spans="2:9">
      <c r="B241" s="3" t="s">
        <v>678</v>
      </c>
      <c r="C241" s="3">
        <v>34000</v>
      </c>
    </row>
    <row r="242" spans="2:9">
      <c r="B242" s="3" t="s">
        <v>622</v>
      </c>
      <c r="C242" s="3">
        <v>75000</v>
      </c>
    </row>
    <row r="243" spans="2:9">
      <c r="B243" s="6" t="s">
        <v>7</v>
      </c>
      <c r="C243" s="3"/>
    </row>
    <row r="244" spans="2:9">
      <c r="B244" s="3" t="s">
        <v>12</v>
      </c>
      <c r="C244" s="3">
        <f>C240/C241</f>
        <v>1.0294117647058822</v>
      </c>
      <c r="D244" s="35" t="s">
        <v>1124</v>
      </c>
    </row>
    <row r="245" spans="2:9">
      <c r="B245" s="3" t="s">
        <v>274</v>
      </c>
      <c r="C245" s="15">
        <f>C242*C244</f>
        <v>77205.882352941175</v>
      </c>
    </row>
    <row r="252" spans="2:9" ht="19.5" thickBot="1"/>
    <row r="253" spans="2:9" ht="58.5" customHeight="1" thickBot="1">
      <c r="B253" s="226" t="s">
        <v>679</v>
      </c>
      <c r="C253" s="227"/>
      <c r="D253" s="227"/>
      <c r="E253" s="227"/>
      <c r="F253" s="227"/>
      <c r="G253" s="227"/>
      <c r="H253" s="227"/>
      <c r="I253" s="228"/>
    </row>
    <row r="256" spans="2:9">
      <c r="B256" s="16" t="s">
        <v>892</v>
      </c>
    </row>
    <row r="257" spans="2:5">
      <c r="B257" s="3"/>
      <c r="C257" s="4" t="s">
        <v>686</v>
      </c>
      <c r="D257" s="4" t="s">
        <v>687</v>
      </c>
    </row>
    <row r="258" spans="2:5">
      <c r="B258" s="3" t="s">
        <v>680</v>
      </c>
      <c r="C258" s="5">
        <v>5</v>
      </c>
      <c r="D258" s="5">
        <v>5</v>
      </c>
    </row>
    <row r="259" spans="2:5">
      <c r="B259" s="3" t="s">
        <v>681</v>
      </c>
      <c r="C259" s="22">
        <v>0.13</v>
      </c>
      <c r="D259" s="22">
        <v>0.1</v>
      </c>
    </row>
    <row r="260" spans="2:5">
      <c r="B260" s="3" t="s">
        <v>80</v>
      </c>
      <c r="C260" s="88">
        <v>1</v>
      </c>
      <c r="D260" s="4"/>
      <c r="E260" s="24" t="s">
        <v>893</v>
      </c>
    </row>
    <row r="261" spans="2:5">
      <c r="B261" s="3" t="s">
        <v>682</v>
      </c>
      <c r="C261" s="89">
        <f>PMT(C259,C258,C260)</f>
        <v>-0.28431454335515777</v>
      </c>
      <c r="D261" s="4"/>
    </row>
    <row r="262" spans="2:5">
      <c r="B262" s="3" t="s">
        <v>688</v>
      </c>
      <c r="C262" s="4"/>
      <c r="D262" s="89">
        <f>C261</f>
        <v>-0.28431454335515777</v>
      </c>
    </row>
    <row r="263" spans="2:5">
      <c r="B263" s="3" t="s">
        <v>683</v>
      </c>
      <c r="C263" s="4"/>
      <c r="D263" s="88">
        <f>PV(D259,D258,D262)</f>
        <v>1.0777758093011374</v>
      </c>
      <c r="E263" s="24" t="s">
        <v>894</v>
      </c>
    </row>
    <row r="264" spans="2:5">
      <c r="B264" s="3" t="s">
        <v>12</v>
      </c>
      <c r="C264" s="4"/>
      <c r="D264" s="90">
        <f>C260/D263-1</f>
        <v>-7.2163253832510432E-2</v>
      </c>
      <c r="E264" s="159">
        <f>C260/D263</f>
        <v>0.92783674616748957</v>
      </c>
    </row>
    <row r="267" spans="2:5">
      <c r="B267" s="16" t="s">
        <v>895</v>
      </c>
    </row>
    <row r="268" spans="2:5">
      <c r="B268" s="3"/>
      <c r="C268" s="4" t="s">
        <v>686</v>
      </c>
      <c r="D268" s="4" t="s">
        <v>687</v>
      </c>
    </row>
    <row r="269" spans="2:5">
      <c r="B269" s="3" t="s">
        <v>680</v>
      </c>
      <c r="C269" s="5">
        <v>5</v>
      </c>
      <c r="D269" s="5">
        <v>5</v>
      </c>
    </row>
    <row r="270" spans="2:5">
      <c r="B270" s="3" t="s">
        <v>681</v>
      </c>
      <c r="C270" s="22">
        <v>0.13</v>
      </c>
      <c r="D270" s="22">
        <v>0.1</v>
      </c>
    </row>
    <row r="271" spans="2:5">
      <c r="B271" s="3" t="s">
        <v>80</v>
      </c>
      <c r="C271" s="4">
        <v>1</v>
      </c>
      <c r="D271" s="88">
        <v>1</v>
      </c>
      <c r="E271" s="24" t="s">
        <v>893</v>
      </c>
    </row>
    <row r="272" spans="2:5">
      <c r="B272" s="3" t="s">
        <v>682</v>
      </c>
      <c r="C272" s="89"/>
      <c r="D272" s="89">
        <f>PMT(D270,D269,D271)</f>
        <v>-0.26379748079474541</v>
      </c>
    </row>
    <row r="273" spans="2:5">
      <c r="B273" s="3" t="s">
        <v>688</v>
      </c>
      <c r="C273" s="89">
        <f>D272</f>
        <v>-0.26379748079474541</v>
      </c>
      <c r="D273" s="89"/>
    </row>
    <row r="274" spans="2:5">
      <c r="B274" s="3" t="s">
        <v>683</v>
      </c>
      <c r="C274" s="88">
        <f>PV(C270,C269,C273)</f>
        <v>0.92783674616748923</v>
      </c>
      <c r="D274" s="89"/>
    </row>
    <row r="275" spans="2:5">
      <c r="B275" s="3" t="s">
        <v>12</v>
      </c>
      <c r="C275" s="4"/>
      <c r="D275" s="90">
        <f>C274/D271-1</f>
        <v>-7.2163253832510765E-2</v>
      </c>
    </row>
    <row r="278" spans="2:5">
      <c r="B278" s="16" t="s">
        <v>896</v>
      </c>
    </row>
    <row r="279" spans="2:5">
      <c r="B279" s="3"/>
      <c r="C279" s="4" t="s">
        <v>686</v>
      </c>
      <c r="D279" s="4" t="s">
        <v>687</v>
      </c>
    </row>
    <row r="280" spans="2:5">
      <c r="B280" s="3" t="s">
        <v>680</v>
      </c>
      <c r="C280" s="5">
        <v>5</v>
      </c>
      <c r="D280" s="5">
        <v>5</v>
      </c>
    </row>
    <row r="281" spans="2:5">
      <c r="B281" s="3" t="s">
        <v>681</v>
      </c>
      <c r="C281" s="22">
        <v>0.13</v>
      </c>
      <c r="D281" s="22">
        <v>0.1</v>
      </c>
    </row>
    <row r="282" spans="2:5">
      <c r="B282" s="3" t="s">
        <v>684</v>
      </c>
      <c r="C282" s="4">
        <v>1</v>
      </c>
      <c r="D282" s="4">
        <v>1</v>
      </c>
      <c r="E282" s="24" t="s">
        <v>897</v>
      </c>
    </row>
    <row r="283" spans="2:5">
      <c r="B283" s="3" t="s">
        <v>685</v>
      </c>
      <c r="C283" s="88">
        <f>PV(C281,C280,C282)</f>
        <v>-3.5172312615427028</v>
      </c>
      <c r="D283" s="88">
        <f>PV(D281,D280,D282)</f>
        <v>-3.7907867694084505</v>
      </c>
    </row>
    <row r="284" spans="2:5">
      <c r="B284" s="3" t="s">
        <v>12</v>
      </c>
      <c r="C284" s="4"/>
      <c r="D284" s="90">
        <f>C283/D283-1</f>
        <v>-7.216325383251132E-2</v>
      </c>
    </row>
    <row r="291" spans="2:9" ht="19.5" thickBot="1"/>
    <row r="292" spans="2:9" ht="48.75" customHeight="1" thickBot="1">
      <c r="B292" s="226" t="s">
        <v>1189</v>
      </c>
      <c r="C292" s="227"/>
      <c r="D292" s="227"/>
      <c r="E292" s="227"/>
      <c r="F292" s="227"/>
      <c r="G292" s="227"/>
      <c r="H292" s="227"/>
      <c r="I292" s="228"/>
    </row>
    <row r="295" spans="2:9">
      <c r="B295" s="3"/>
      <c r="C295" s="4" t="s">
        <v>241</v>
      </c>
      <c r="D295" s="4" t="s">
        <v>242</v>
      </c>
      <c r="E295" s="4" t="s">
        <v>432</v>
      </c>
    </row>
    <row r="296" spans="2:9">
      <c r="B296" s="3" t="s">
        <v>80</v>
      </c>
      <c r="C296" s="3">
        <v>100000</v>
      </c>
      <c r="D296" s="3">
        <v>120000</v>
      </c>
      <c r="E296" s="3">
        <f>D296-C296</f>
        <v>20000</v>
      </c>
    </row>
    <row r="297" spans="2:9">
      <c r="B297" s="3" t="s">
        <v>689</v>
      </c>
      <c r="C297" s="3">
        <v>20</v>
      </c>
      <c r="D297" s="3">
        <v>25</v>
      </c>
      <c r="E297" s="3">
        <f>D297-C297</f>
        <v>5</v>
      </c>
    </row>
    <row r="298" spans="2:9">
      <c r="B298" s="3" t="s">
        <v>690</v>
      </c>
      <c r="C298" s="3"/>
      <c r="D298" s="3"/>
      <c r="E298" s="15">
        <f>E296/E297</f>
        <v>4000</v>
      </c>
    </row>
    <row r="305" spans="2:9" ht="19.5" thickBot="1"/>
    <row r="306" spans="2:9" ht="138.6" customHeight="1" thickBot="1">
      <c r="B306" s="226" t="s">
        <v>1125</v>
      </c>
      <c r="C306" s="227"/>
      <c r="D306" s="227"/>
      <c r="E306" s="227"/>
      <c r="F306" s="227"/>
      <c r="G306" s="227"/>
      <c r="H306" s="227"/>
      <c r="I306" s="228"/>
    </row>
    <row r="309" spans="2:9">
      <c r="B309" s="3" t="s">
        <v>200</v>
      </c>
      <c r="C309" s="4" t="s">
        <v>4</v>
      </c>
      <c r="D309" s="4" t="s">
        <v>241</v>
      </c>
      <c r="E309" s="4" t="s">
        <v>242</v>
      </c>
      <c r="F309" s="4" t="s">
        <v>561</v>
      </c>
      <c r="G309" s="4" t="s">
        <v>649</v>
      </c>
      <c r="H309" s="4" t="s">
        <v>650</v>
      </c>
    </row>
    <row r="310" spans="2:9">
      <c r="B310" s="3" t="s">
        <v>693</v>
      </c>
      <c r="C310" s="79" t="s">
        <v>694</v>
      </c>
      <c r="D310" s="79" t="s">
        <v>694</v>
      </c>
      <c r="E310" s="85">
        <v>2009</v>
      </c>
      <c r="F310" s="85">
        <v>2004</v>
      </c>
      <c r="G310" s="79" t="s">
        <v>696</v>
      </c>
      <c r="H310" s="79" t="s">
        <v>694</v>
      </c>
    </row>
    <row r="311" spans="2:9">
      <c r="B311" s="3" t="s">
        <v>249</v>
      </c>
      <c r="C311" s="4"/>
      <c r="D311" s="4">
        <v>95000</v>
      </c>
      <c r="E311" s="4">
        <v>130000</v>
      </c>
      <c r="F311" s="4">
        <v>120000</v>
      </c>
      <c r="G311" s="4">
        <v>100000</v>
      </c>
      <c r="H311" s="4">
        <v>105000</v>
      </c>
    </row>
    <row r="312" spans="2:9">
      <c r="B312" s="3" t="s">
        <v>695</v>
      </c>
      <c r="C312" s="79" t="s">
        <v>661</v>
      </c>
      <c r="D312" s="79" t="s">
        <v>697</v>
      </c>
      <c r="E312" s="87" t="s">
        <v>698</v>
      </c>
      <c r="F312" s="79" t="s">
        <v>697</v>
      </c>
      <c r="G312" s="79" t="s">
        <v>661</v>
      </c>
      <c r="H312" s="79" t="s">
        <v>697</v>
      </c>
    </row>
    <row r="313" spans="2:9">
      <c r="B313" s="35" t="s">
        <v>891</v>
      </c>
      <c r="C313" s="129"/>
      <c r="D313" s="129"/>
      <c r="E313" s="130"/>
      <c r="F313" s="129"/>
      <c r="G313" s="129"/>
      <c r="H313" s="129"/>
    </row>
    <row r="315" spans="2:9">
      <c r="B315" s="3" t="s">
        <v>662</v>
      </c>
      <c r="C315" s="10">
        <f>(D311+G311+H311)/3</f>
        <v>100000</v>
      </c>
      <c r="D315" s="35" t="s">
        <v>898</v>
      </c>
    </row>
    <row r="316" spans="2:9">
      <c r="B316" s="3" t="s">
        <v>664</v>
      </c>
      <c r="C316" s="3">
        <v>200000</v>
      </c>
    </row>
    <row r="317" spans="2:9">
      <c r="B317" s="3" t="s">
        <v>665</v>
      </c>
      <c r="C317" s="3">
        <v>20000</v>
      </c>
    </row>
    <row r="318" spans="2:9">
      <c r="B318" s="3" t="s">
        <v>691</v>
      </c>
      <c r="C318" s="3">
        <v>10000</v>
      </c>
    </row>
    <row r="319" spans="2:9">
      <c r="B319" s="3" t="s">
        <v>692</v>
      </c>
      <c r="C319" s="3">
        <f>C317+C318</f>
        <v>30000</v>
      </c>
    </row>
    <row r="320" spans="2:9">
      <c r="B320" s="3" t="s">
        <v>666</v>
      </c>
      <c r="C320" s="9">
        <v>0.3</v>
      </c>
    </row>
    <row r="321" spans="2:9">
      <c r="B321" s="3" t="s">
        <v>667</v>
      </c>
      <c r="C321" s="3">
        <f>C319*(1+C320)</f>
        <v>39000</v>
      </c>
    </row>
    <row r="322" spans="2:9">
      <c r="B322" s="3" t="s">
        <v>668</v>
      </c>
      <c r="C322" s="9">
        <v>0.2</v>
      </c>
    </row>
    <row r="323" spans="2:9">
      <c r="B323" s="3" t="s">
        <v>668</v>
      </c>
      <c r="C323" s="3">
        <f>C321*C322</f>
        <v>7800</v>
      </c>
    </row>
    <row r="324" spans="2:9">
      <c r="B324" s="3" t="s">
        <v>669</v>
      </c>
      <c r="C324" s="3">
        <v>5000</v>
      </c>
    </row>
    <row r="325" spans="2:9">
      <c r="B325" s="3" t="s">
        <v>670</v>
      </c>
      <c r="C325" s="15">
        <f>C315-C323-C324</f>
        <v>87200</v>
      </c>
    </row>
    <row r="332" spans="2:9" ht="19.5" thickBot="1"/>
    <row r="333" spans="2:9" ht="41.25" customHeight="1" thickBot="1">
      <c r="B333" s="226" t="s">
        <v>699</v>
      </c>
      <c r="C333" s="227"/>
      <c r="D333" s="227"/>
      <c r="E333" s="227"/>
      <c r="F333" s="227"/>
      <c r="G333" s="227"/>
      <c r="H333" s="227"/>
      <c r="I333" s="228"/>
    </row>
    <row r="336" spans="2:9">
      <c r="B336" s="3" t="s">
        <v>700</v>
      </c>
      <c r="C336" s="3">
        <v>50000</v>
      </c>
    </row>
    <row r="337" spans="2:9">
      <c r="B337" s="3" t="s">
        <v>701</v>
      </c>
      <c r="C337" s="9">
        <v>0.1</v>
      </c>
    </row>
    <row r="338" spans="2:9">
      <c r="B338" s="3" t="s">
        <v>702</v>
      </c>
      <c r="C338" s="9">
        <v>0.2</v>
      </c>
    </row>
    <row r="339" spans="2:9">
      <c r="B339" s="6" t="s">
        <v>7</v>
      </c>
      <c r="C339" s="3"/>
    </row>
    <row r="340" spans="2:9">
      <c r="B340" s="3" t="s">
        <v>703</v>
      </c>
      <c r="C340" s="3">
        <f>C336*(1+C337)</f>
        <v>55000.000000000007</v>
      </c>
    </row>
    <row r="341" spans="2:9">
      <c r="B341" s="3" t="s">
        <v>704</v>
      </c>
      <c r="C341" s="3">
        <f>C340-C336</f>
        <v>5000.0000000000073</v>
      </c>
    </row>
    <row r="342" spans="2:9">
      <c r="B342" s="3" t="s">
        <v>710</v>
      </c>
      <c r="C342" s="3">
        <f>C336*E346</f>
        <v>62500</v>
      </c>
    </row>
    <row r="343" spans="2:9">
      <c r="B343" s="3" t="s">
        <v>711</v>
      </c>
      <c r="C343" s="15">
        <f>C342+C341</f>
        <v>67500</v>
      </c>
    </row>
    <row r="345" spans="2:9" ht="19.5" thickBot="1">
      <c r="B345" s="3"/>
      <c r="C345" s="91" t="s">
        <v>707</v>
      </c>
      <c r="D345" s="97" t="s">
        <v>706</v>
      </c>
      <c r="E345" s="4" t="s">
        <v>705</v>
      </c>
      <c r="F345" s="92"/>
      <c r="G345" s="92"/>
      <c r="H345" s="92"/>
      <c r="I345" s="93"/>
    </row>
    <row r="346" spans="2:9" ht="19.5" thickTop="1">
      <c r="B346" s="28" t="s">
        <v>708</v>
      </c>
      <c r="C346" s="94">
        <v>1</v>
      </c>
      <c r="D346" s="95">
        <v>0.8</v>
      </c>
      <c r="E346" s="4">
        <f>C346/D346</f>
        <v>1.25</v>
      </c>
      <c r="F346" s="96" t="s">
        <v>709</v>
      </c>
      <c r="G346" s="96"/>
      <c r="H346" s="96"/>
      <c r="I346" s="40"/>
    </row>
    <row r="353" spans="2:9" ht="19.5" thickBot="1"/>
    <row r="354" spans="2:9" ht="78.75" customHeight="1" thickBot="1">
      <c r="B354" s="226" t="s">
        <v>1126</v>
      </c>
      <c r="C354" s="227"/>
      <c r="D354" s="227"/>
      <c r="E354" s="227"/>
      <c r="F354" s="227"/>
      <c r="G354" s="227"/>
      <c r="H354" s="227"/>
      <c r="I354" s="228"/>
    </row>
    <row r="357" spans="2:9">
      <c r="B357" s="3" t="s">
        <v>712</v>
      </c>
      <c r="C357" s="3">
        <v>1000000</v>
      </c>
    </row>
    <row r="358" spans="2:9">
      <c r="B358" s="3" t="s">
        <v>233</v>
      </c>
      <c r="C358" s="3">
        <v>50000</v>
      </c>
    </row>
    <row r="359" spans="2:9">
      <c r="B359" s="3" t="s">
        <v>308</v>
      </c>
      <c r="C359" s="3">
        <v>150000</v>
      </c>
    </row>
    <row r="360" spans="2:9">
      <c r="B360" s="3" t="s">
        <v>145</v>
      </c>
      <c r="C360" s="9">
        <v>0.2</v>
      </c>
    </row>
    <row r="361" spans="2:9">
      <c r="B361" s="6" t="s">
        <v>7</v>
      </c>
      <c r="C361" s="3"/>
    </row>
    <row r="362" spans="2:9">
      <c r="B362" s="3" t="s">
        <v>713</v>
      </c>
      <c r="C362" s="3">
        <f>C357-C358-C359</f>
        <v>800000</v>
      </c>
    </row>
    <row r="363" spans="2:9">
      <c r="B363" s="3" t="s">
        <v>714</v>
      </c>
      <c r="C363" s="3">
        <f>C362/1.18</f>
        <v>677966.10169491533</v>
      </c>
    </row>
    <row r="364" spans="2:9">
      <c r="B364" s="3" t="s">
        <v>715</v>
      </c>
      <c r="C364" s="15">
        <f>C363/(1+C360)</f>
        <v>564971.7514124295</v>
      </c>
    </row>
    <row r="371" spans="2:9" ht="19.5" thickBot="1"/>
    <row r="372" spans="2:9" ht="40.5" customHeight="1" thickBot="1">
      <c r="B372" s="226" t="s">
        <v>716</v>
      </c>
      <c r="C372" s="227"/>
      <c r="D372" s="227"/>
      <c r="E372" s="227"/>
      <c r="F372" s="227"/>
      <c r="G372" s="227"/>
      <c r="H372" s="227"/>
      <c r="I372" s="228"/>
    </row>
    <row r="374" spans="2:9">
      <c r="B374" s="2"/>
    </row>
    <row r="377" spans="2:9">
      <c r="B377" s="16"/>
    </row>
    <row r="395" spans="2:9" ht="19.5" thickBot="1"/>
    <row r="396" spans="2:9" ht="191.25" customHeight="1" thickBot="1">
      <c r="B396" s="226" t="s">
        <v>720</v>
      </c>
      <c r="C396" s="227"/>
      <c r="D396" s="227"/>
      <c r="E396" s="227"/>
      <c r="F396" s="227"/>
      <c r="G396" s="227"/>
      <c r="H396" s="227"/>
      <c r="I396" s="228"/>
    </row>
    <row r="399" spans="2:9">
      <c r="B399" s="3" t="s">
        <v>590</v>
      </c>
      <c r="C399" s="4" t="s">
        <v>241</v>
      </c>
      <c r="D399" s="4" t="s">
        <v>242</v>
      </c>
    </row>
    <row r="400" spans="2:9">
      <c r="B400" s="3" t="s">
        <v>591</v>
      </c>
      <c r="C400" s="79" t="s">
        <v>592</v>
      </c>
      <c r="D400" s="79" t="s">
        <v>592</v>
      </c>
    </row>
    <row r="401" spans="2:4">
      <c r="B401" s="3" t="s">
        <v>593</v>
      </c>
      <c r="C401" s="4">
        <v>1000000</v>
      </c>
      <c r="D401" s="4">
        <v>1230000</v>
      </c>
    </row>
    <row r="402" spans="2:4">
      <c r="B402" s="3" t="s">
        <v>97</v>
      </c>
      <c r="C402" s="19">
        <v>1991</v>
      </c>
      <c r="D402" s="19">
        <v>1996</v>
      </c>
    </row>
    <row r="403" spans="2:4">
      <c r="B403" s="3" t="s">
        <v>594</v>
      </c>
      <c r="C403" s="79" t="s">
        <v>595</v>
      </c>
      <c r="D403" s="79" t="s">
        <v>717</v>
      </c>
    </row>
    <row r="404" spans="2:4" ht="37.5">
      <c r="B404" s="80" t="s">
        <v>596</v>
      </c>
      <c r="C404" s="81" t="s">
        <v>598</v>
      </c>
      <c r="D404" s="81" t="s">
        <v>598</v>
      </c>
    </row>
    <row r="405" spans="2:4">
      <c r="B405" s="3" t="s">
        <v>599</v>
      </c>
      <c r="C405" s="5">
        <v>7</v>
      </c>
      <c r="D405" s="5">
        <v>7</v>
      </c>
    </row>
    <row r="406" spans="2:4">
      <c r="B406" s="3" t="s">
        <v>600</v>
      </c>
      <c r="C406" s="4" t="s">
        <v>605</v>
      </c>
      <c r="D406" s="4" t="s">
        <v>601</v>
      </c>
    </row>
    <row r="408" spans="2:4">
      <c r="B408" s="24" t="s">
        <v>603</v>
      </c>
    </row>
    <row r="409" spans="2:4">
      <c r="B409" s="3" t="s">
        <v>604</v>
      </c>
      <c r="C409" s="4" t="s">
        <v>606</v>
      </c>
    </row>
    <row r="410" spans="2:4">
      <c r="B410" s="3" t="s">
        <v>601</v>
      </c>
      <c r="C410" s="4">
        <v>1</v>
      </c>
    </row>
    <row r="411" spans="2:4">
      <c r="B411" s="3" t="s">
        <v>605</v>
      </c>
      <c r="C411" s="4">
        <v>0.8</v>
      </c>
    </row>
    <row r="412" spans="2:4">
      <c r="B412" s="3" t="s">
        <v>602</v>
      </c>
      <c r="C412" s="4">
        <v>1.3</v>
      </c>
    </row>
    <row r="413" spans="2:4">
      <c r="B413" s="3"/>
      <c r="C413" s="3"/>
    </row>
    <row r="415" spans="2:4">
      <c r="B415" s="24" t="s">
        <v>607</v>
      </c>
    </row>
    <row r="416" spans="2:4">
      <c r="B416" s="3" t="s">
        <v>594</v>
      </c>
      <c r="C416" s="4" t="s">
        <v>608</v>
      </c>
    </row>
    <row r="417" spans="2:4">
      <c r="B417" s="3" t="s">
        <v>609</v>
      </c>
      <c r="C417" s="22">
        <v>-0.25</v>
      </c>
      <c r="D417" s="1">
        <f>D418+C417</f>
        <v>0.75</v>
      </c>
    </row>
    <row r="418" spans="2:4">
      <c r="B418" s="3" t="s">
        <v>610</v>
      </c>
      <c r="C418" s="22">
        <v>0</v>
      </c>
      <c r="D418" s="1">
        <v>1</v>
      </c>
    </row>
    <row r="419" spans="2:4">
      <c r="B419" s="3" t="s">
        <v>611</v>
      </c>
      <c r="C419" s="22">
        <v>0.2</v>
      </c>
      <c r="D419" s="1">
        <f>D418+C419</f>
        <v>1.2</v>
      </c>
    </row>
    <row r="421" spans="2:4">
      <c r="B421" s="24" t="s">
        <v>612</v>
      </c>
    </row>
    <row r="422" spans="2:4">
      <c r="B422" s="3" t="s">
        <v>613</v>
      </c>
      <c r="C422" s="4" t="s">
        <v>614</v>
      </c>
    </row>
    <row r="423" spans="2:4">
      <c r="B423" s="3" t="s">
        <v>615</v>
      </c>
      <c r="C423" s="4">
        <v>250000</v>
      </c>
    </row>
    <row r="424" spans="2:4">
      <c r="B424" s="3" t="s">
        <v>616</v>
      </c>
      <c r="C424" s="4">
        <v>300000</v>
      </c>
    </row>
    <row r="425" spans="2:4">
      <c r="B425" s="3" t="s">
        <v>617</v>
      </c>
      <c r="C425" s="4">
        <v>315000</v>
      </c>
    </row>
    <row r="426" spans="2:4">
      <c r="B426" s="3" t="s">
        <v>618</v>
      </c>
      <c r="C426" s="4">
        <v>330000</v>
      </c>
    </row>
    <row r="428" spans="2:4">
      <c r="B428" s="24" t="s">
        <v>619</v>
      </c>
    </row>
    <row r="429" spans="2:4">
      <c r="B429" s="3" t="s">
        <v>596</v>
      </c>
      <c r="C429" s="4" t="s">
        <v>620</v>
      </c>
    </row>
    <row r="430" spans="2:4">
      <c r="B430" s="3" t="s">
        <v>598</v>
      </c>
      <c r="C430" s="4">
        <v>3.5</v>
      </c>
    </row>
    <row r="431" spans="2:4">
      <c r="B431" s="3" t="s">
        <v>597</v>
      </c>
      <c r="C431" s="4">
        <v>1</v>
      </c>
    </row>
    <row r="434" spans="2:7">
      <c r="B434" s="3"/>
      <c r="C434" s="4" t="s">
        <v>4</v>
      </c>
      <c r="D434" s="4" t="s">
        <v>241</v>
      </c>
      <c r="E434" s="4" t="s">
        <v>242</v>
      </c>
    </row>
    <row r="435" spans="2:7">
      <c r="B435" s="3" t="s">
        <v>621</v>
      </c>
      <c r="C435" s="79" t="s">
        <v>592</v>
      </c>
      <c r="D435" s="79" t="s">
        <v>592</v>
      </c>
      <c r="E435" s="79" t="s">
        <v>592</v>
      </c>
    </row>
    <row r="436" spans="2:7">
      <c r="B436" s="3" t="s">
        <v>622</v>
      </c>
      <c r="C436" s="3"/>
      <c r="D436" s="4">
        <v>1000000</v>
      </c>
      <c r="E436" s="4">
        <v>1230000</v>
      </c>
    </row>
    <row r="437" spans="2:7">
      <c r="B437" s="3" t="s">
        <v>623</v>
      </c>
      <c r="C437" s="19">
        <v>1990</v>
      </c>
      <c r="D437" s="19">
        <v>1991</v>
      </c>
      <c r="E437" s="19">
        <v>1996</v>
      </c>
    </row>
    <row r="438" spans="2:7">
      <c r="B438" s="82" t="s">
        <v>590</v>
      </c>
      <c r="C438" s="4">
        <v>250000</v>
      </c>
      <c r="D438" s="4">
        <v>250000</v>
      </c>
      <c r="E438" s="4">
        <v>300000</v>
      </c>
    </row>
    <row r="439" spans="2:7">
      <c r="B439" s="82" t="s">
        <v>12</v>
      </c>
      <c r="C439" s="19"/>
      <c r="D439" s="83">
        <f>C438/D438</f>
        <v>1</v>
      </c>
      <c r="E439" s="83">
        <f>C438/E438</f>
        <v>0.83333333333333337</v>
      </c>
    </row>
    <row r="440" spans="2:7">
      <c r="B440" s="3" t="s">
        <v>594</v>
      </c>
      <c r="C440" s="79" t="s">
        <v>717</v>
      </c>
      <c r="D440" s="79" t="s">
        <v>595</v>
      </c>
      <c r="E440" s="79" t="s">
        <v>717</v>
      </c>
    </row>
    <row r="441" spans="2:7">
      <c r="B441" s="82" t="s">
        <v>590</v>
      </c>
      <c r="C441" s="79" t="s">
        <v>718</v>
      </c>
      <c r="D441" s="79" t="s">
        <v>627</v>
      </c>
      <c r="E441" s="79" t="s">
        <v>718</v>
      </c>
    </row>
    <row r="442" spans="2:7">
      <c r="B442" s="82" t="s">
        <v>12</v>
      </c>
      <c r="C442" s="79"/>
      <c r="D442" s="83">
        <f>C441/D441</f>
        <v>0.75</v>
      </c>
      <c r="E442" s="83">
        <f>C441/E441</f>
        <v>1</v>
      </c>
    </row>
    <row r="443" spans="2:7" ht="37.5">
      <c r="B443" s="80" t="s">
        <v>596</v>
      </c>
      <c r="C443" s="81" t="s">
        <v>598</v>
      </c>
      <c r="D443" s="81" t="s">
        <v>598</v>
      </c>
      <c r="E443" s="81" t="s">
        <v>598</v>
      </c>
    </row>
    <row r="444" spans="2:7">
      <c r="B444" s="80"/>
      <c r="C444" s="79" t="s">
        <v>628</v>
      </c>
      <c r="D444" s="79" t="s">
        <v>628</v>
      </c>
      <c r="E444" s="79" t="s">
        <v>628</v>
      </c>
    </row>
    <row r="445" spans="2:7">
      <c r="B445" s="80"/>
      <c r="C445" s="79"/>
      <c r="D445" s="83">
        <f>C444/D444</f>
        <v>1</v>
      </c>
      <c r="E445" s="83">
        <f>C444/E444</f>
        <v>1</v>
      </c>
    </row>
    <row r="446" spans="2:7">
      <c r="B446" s="3" t="s">
        <v>625</v>
      </c>
      <c r="C446" s="4" t="s">
        <v>602</v>
      </c>
      <c r="D446" s="4" t="s">
        <v>605</v>
      </c>
      <c r="E446" s="4" t="s">
        <v>601</v>
      </c>
    </row>
    <row r="447" spans="2:7">
      <c r="B447" s="80"/>
      <c r="C447" s="79" t="s">
        <v>629</v>
      </c>
      <c r="D447" s="79" t="s">
        <v>719</v>
      </c>
      <c r="E447" s="79" t="s">
        <v>627</v>
      </c>
    </row>
    <row r="448" spans="2:7">
      <c r="B448" s="80"/>
      <c r="C448" s="79"/>
      <c r="D448" s="83">
        <f>C447/D447</f>
        <v>1.625</v>
      </c>
      <c r="E448" s="83">
        <f>C447/E447</f>
        <v>1.3</v>
      </c>
      <c r="F448" s="29"/>
      <c r="G448" s="29"/>
    </row>
    <row r="449" spans="2:9">
      <c r="B449" s="80"/>
      <c r="C449" s="4"/>
      <c r="D449" s="4">
        <f>D436*D439*D442*D445*D448</f>
        <v>1218750</v>
      </c>
      <c r="E449" s="4">
        <f>E436*E439*E442*E445*E448</f>
        <v>1332500</v>
      </c>
      <c r="F449" s="29"/>
      <c r="G449" s="29"/>
    </row>
    <row r="450" spans="2:9">
      <c r="B450" s="3" t="s">
        <v>599</v>
      </c>
      <c r="C450" s="5">
        <v>7</v>
      </c>
      <c r="D450" s="5">
        <v>7</v>
      </c>
      <c r="E450" s="5">
        <v>7</v>
      </c>
      <c r="F450" s="131" t="s">
        <v>899</v>
      </c>
      <c r="G450" s="29"/>
    </row>
    <row r="451" spans="2:9">
      <c r="B451" s="80" t="s">
        <v>630</v>
      </c>
      <c r="C451" s="4"/>
      <c r="D451" s="4">
        <f>D449</f>
        <v>1218750</v>
      </c>
      <c r="E451" s="4">
        <f>E449</f>
        <v>1332500</v>
      </c>
    </row>
    <row r="452" spans="2:9">
      <c r="B452" s="3" t="s">
        <v>631</v>
      </c>
      <c r="C452" s="15">
        <f>AVERAGE(D451:E451)</f>
        <v>1275625</v>
      </c>
      <c r="D452" s="3"/>
      <c r="E452" s="3"/>
    </row>
    <row r="453" spans="2:9">
      <c r="B453" s="3" t="s">
        <v>631</v>
      </c>
      <c r="C453" s="15">
        <f>(D451+E451)/2</f>
        <v>1275625</v>
      </c>
      <c r="D453" s="3"/>
      <c r="E453" s="3"/>
    </row>
    <row r="460" spans="2:9" ht="19.5" thickBot="1"/>
    <row r="461" spans="2:9" ht="96" customHeight="1" thickBot="1">
      <c r="B461" s="226" t="s">
        <v>1128</v>
      </c>
      <c r="C461" s="227"/>
      <c r="D461" s="227"/>
      <c r="E461" s="227"/>
      <c r="F461" s="227"/>
      <c r="G461" s="227"/>
      <c r="H461" s="227"/>
      <c r="I461" s="228"/>
    </row>
    <row r="463" spans="2:9">
      <c r="B463" s="35" t="s">
        <v>1129</v>
      </c>
    </row>
    <row r="464" spans="2:9">
      <c r="B464" s="3" t="s">
        <v>721</v>
      </c>
      <c r="C464" s="3">
        <v>360000</v>
      </c>
    </row>
    <row r="465" spans="2:9">
      <c r="B465" s="3" t="s">
        <v>58</v>
      </c>
      <c r="C465" s="3">
        <v>1.54</v>
      </c>
    </row>
    <row r="466" spans="2:9">
      <c r="B466" s="3" t="s">
        <v>59</v>
      </c>
      <c r="C466" s="3">
        <v>2.12</v>
      </c>
    </row>
    <row r="467" spans="2:9">
      <c r="B467" s="3" t="s">
        <v>60</v>
      </c>
      <c r="C467" s="3">
        <v>70.180000000000007</v>
      </c>
    </row>
    <row r="468" spans="2:9">
      <c r="B468" s="6" t="s">
        <v>7</v>
      </c>
      <c r="C468" s="3"/>
    </row>
    <row r="469" spans="2:9">
      <c r="B469" s="3" t="s">
        <v>61</v>
      </c>
      <c r="C469" s="3">
        <f>C466/C465</f>
        <v>1.3766233766233766</v>
      </c>
    </row>
    <row r="470" spans="2:9">
      <c r="B470" s="3" t="s">
        <v>62</v>
      </c>
      <c r="C470" s="15">
        <f>C464*C469*C467</f>
        <v>34780114.285714291</v>
      </c>
    </row>
    <row r="477" spans="2:9" ht="19.5" thickBot="1"/>
    <row r="478" spans="2:9" ht="94.5" customHeight="1" thickBot="1">
      <c r="B478" s="226" t="s">
        <v>1137</v>
      </c>
      <c r="C478" s="227"/>
      <c r="D478" s="227"/>
      <c r="E478" s="227"/>
      <c r="F478" s="227"/>
      <c r="G478" s="227"/>
      <c r="H478" s="227"/>
      <c r="I478" s="228"/>
    </row>
    <row r="480" spans="2:9">
      <c r="C480" s="29" t="s">
        <v>1131</v>
      </c>
      <c r="D480" s="29" t="s">
        <v>1132</v>
      </c>
      <c r="E480" s="29" t="s">
        <v>1133</v>
      </c>
      <c r="F480" s="29" t="s">
        <v>1134</v>
      </c>
      <c r="G480" s="29" t="s">
        <v>1135</v>
      </c>
      <c r="H480" s="29" t="s">
        <v>1136</v>
      </c>
    </row>
    <row r="481" spans="2:9">
      <c r="B481" s="3" t="s">
        <v>1130</v>
      </c>
      <c r="C481" s="4">
        <v>8000</v>
      </c>
      <c r="D481" s="84">
        <v>9000</v>
      </c>
      <c r="E481" s="54">
        <v>8000</v>
      </c>
      <c r="F481" s="84">
        <v>10000</v>
      </c>
      <c r="G481" s="84">
        <v>10000</v>
      </c>
      <c r="H481" s="84">
        <v>9000</v>
      </c>
    </row>
    <row r="482" spans="2:9">
      <c r="B482" s="3" t="s">
        <v>623</v>
      </c>
      <c r="C482" s="85">
        <v>2003</v>
      </c>
      <c r="D482" s="85">
        <v>2004</v>
      </c>
      <c r="E482" s="155">
        <v>2005</v>
      </c>
      <c r="F482" s="85">
        <v>2006</v>
      </c>
      <c r="G482" s="19">
        <v>2005</v>
      </c>
      <c r="H482" s="85">
        <v>2007</v>
      </c>
    </row>
    <row r="484" spans="2:9">
      <c r="B484" s="35" t="s">
        <v>1138</v>
      </c>
    </row>
    <row r="488" spans="2:9" ht="19.5" thickBot="1"/>
    <row r="489" spans="2:9" ht="58.5" customHeight="1" thickBot="1">
      <c r="B489" s="226" t="s">
        <v>1139</v>
      </c>
      <c r="C489" s="227"/>
      <c r="D489" s="227"/>
      <c r="E489" s="227"/>
      <c r="F489" s="227"/>
      <c r="G489" s="227"/>
      <c r="H489" s="227"/>
      <c r="I489" s="228"/>
    </row>
    <row r="492" spans="2:9">
      <c r="B492" s="3"/>
      <c r="C492" s="4" t="s">
        <v>4</v>
      </c>
      <c r="D492" s="4" t="s">
        <v>241</v>
      </c>
      <c r="E492" s="4" t="s">
        <v>242</v>
      </c>
      <c r="F492" s="4" t="s">
        <v>432</v>
      </c>
    </row>
    <row r="493" spans="2:9">
      <c r="B493" s="3" t="s">
        <v>80</v>
      </c>
      <c r="C493" s="4"/>
      <c r="D493" s="4">
        <v>40000</v>
      </c>
      <c r="E493" s="4">
        <v>49000</v>
      </c>
      <c r="F493" s="4">
        <f>E493-D493</f>
        <v>9000</v>
      </c>
    </row>
    <row r="494" spans="2:9">
      <c r="B494" s="3" t="s">
        <v>723</v>
      </c>
      <c r="C494" s="4">
        <v>12</v>
      </c>
      <c r="D494" s="4">
        <v>5</v>
      </c>
      <c r="E494" s="4">
        <v>15</v>
      </c>
      <c r="F494" s="4">
        <f>E494-D494</f>
        <v>10</v>
      </c>
    </row>
    <row r="495" spans="2:9">
      <c r="B495" s="3" t="s">
        <v>1140</v>
      </c>
      <c r="C495" s="4"/>
      <c r="D495" s="4"/>
      <c r="E495" s="4"/>
      <c r="F495" s="4">
        <f>F493/F494</f>
        <v>900</v>
      </c>
    </row>
    <row r="496" spans="2:9">
      <c r="B496" s="3" t="s">
        <v>724</v>
      </c>
      <c r="C496" s="4"/>
      <c r="D496" s="172">
        <f>D493+(C494-D494)*F495</f>
        <v>46300</v>
      </c>
      <c r="E496" s="172">
        <f>E493+(C494-E494)*F495</f>
        <v>46300</v>
      </c>
      <c r="F496" s="4"/>
      <c r="G496" s="35" t="s">
        <v>725</v>
      </c>
    </row>
    <row r="498" spans="2:9">
      <c r="B498" s="35" t="s">
        <v>1141</v>
      </c>
    </row>
    <row r="499" spans="2:9">
      <c r="B499" s="35" t="s">
        <v>900</v>
      </c>
    </row>
    <row r="506" spans="2:9" ht="19.5" thickBot="1"/>
    <row r="507" spans="2:9" ht="18.600000000000001" customHeight="1" thickBot="1">
      <c r="B507" s="226" t="s">
        <v>726</v>
      </c>
      <c r="C507" s="227"/>
      <c r="D507" s="227"/>
      <c r="E507" s="227"/>
      <c r="F507" s="227"/>
      <c r="G507" s="227"/>
      <c r="H507" s="227"/>
      <c r="I507" s="228"/>
    </row>
    <row r="510" spans="2:9">
      <c r="B510" s="3" t="s">
        <v>82</v>
      </c>
      <c r="C510" s="9">
        <v>0.35</v>
      </c>
    </row>
    <row r="511" spans="2:9">
      <c r="B511" s="3" t="s">
        <v>13</v>
      </c>
      <c r="C511" s="3">
        <v>100000</v>
      </c>
    </row>
    <row r="512" spans="2:9">
      <c r="B512" s="6" t="s">
        <v>7</v>
      </c>
      <c r="C512" s="3"/>
    </row>
    <row r="513" spans="2:9">
      <c r="B513" s="3" t="s">
        <v>10</v>
      </c>
      <c r="C513" s="3">
        <f>C511/(1-C510)</f>
        <v>153846.15384615384</v>
      </c>
    </row>
    <row r="514" spans="2:9">
      <c r="B514" s="3" t="s">
        <v>727</v>
      </c>
      <c r="C514" s="15">
        <f>C513-C511</f>
        <v>53846.153846153844</v>
      </c>
      <c r="D514" s="35" t="s">
        <v>728</v>
      </c>
    </row>
    <row r="515" spans="2:9">
      <c r="B515" s="3" t="s">
        <v>727</v>
      </c>
      <c r="C515" s="15">
        <f>C513*C510</f>
        <v>53846.153846153844</v>
      </c>
      <c r="D515" s="35" t="s">
        <v>729</v>
      </c>
    </row>
    <row r="522" spans="2:9" ht="19.5" thickBot="1"/>
    <row r="523" spans="2:9" ht="39.75" customHeight="1" thickBot="1">
      <c r="B523" s="226" t="s">
        <v>730</v>
      </c>
      <c r="C523" s="227"/>
      <c r="D523" s="227"/>
      <c r="E523" s="227"/>
      <c r="F523" s="227"/>
      <c r="G523" s="227"/>
      <c r="H523" s="227"/>
      <c r="I523" s="228"/>
    </row>
    <row r="526" spans="2:9">
      <c r="B526" s="3" t="s">
        <v>200</v>
      </c>
      <c r="C526" s="4" t="s">
        <v>4</v>
      </c>
      <c r="D526" s="4" t="s">
        <v>241</v>
      </c>
      <c r="E526" s="4" t="s">
        <v>242</v>
      </c>
      <c r="F526" s="172" t="s">
        <v>561</v>
      </c>
      <c r="G526" s="4" t="s">
        <v>649</v>
      </c>
    </row>
    <row r="527" spans="2:9">
      <c r="B527" s="3" t="s">
        <v>95</v>
      </c>
      <c r="C527" s="4" t="s">
        <v>731</v>
      </c>
      <c r="D527" s="4" t="s">
        <v>731</v>
      </c>
      <c r="E527" s="84" t="s">
        <v>732</v>
      </c>
      <c r="F527" s="172" t="s">
        <v>731</v>
      </c>
      <c r="G527" s="4" t="s">
        <v>731</v>
      </c>
    </row>
    <row r="528" spans="2:9">
      <c r="B528" s="3" t="s">
        <v>623</v>
      </c>
      <c r="C528" s="19">
        <v>2003</v>
      </c>
      <c r="D528" s="85">
        <v>2005</v>
      </c>
      <c r="E528" s="19">
        <v>2003</v>
      </c>
      <c r="F528" s="202">
        <v>2003</v>
      </c>
      <c r="G528" s="19">
        <v>2003</v>
      </c>
    </row>
    <row r="529" spans="2:9">
      <c r="B529" s="3" t="s">
        <v>3</v>
      </c>
      <c r="C529" s="19">
        <v>142000</v>
      </c>
      <c r="D529" s="19">
        <v>132000</v>
      </c>
      <c r="E529" s="19">
        <v>139000</v>
      </c>
      <c r="F529" s="202">
        <v>137000</v>
      </c>
      <c r="G529" s="85">
        <v>68000</v>
      </c>
    </row>
    <row r="531" spans="2:9">
      <c r="B531" s="35" t="s">
        <v>891</v>
      </c>
    </row>
    <row r="538" spans="2:9" ht="19.5" thickBot="1"/>
    <row r="539" spans="2:9" ht="78" customHeight="1" thickBot="1">
      <c r="B539" s="226" t="s">
        <v>1142</v>
      </c>
      <c r="C539" s="227"/>
      <c r="D539" s="227"/>
      <c r="E539" s="227"/>
      <c r="F539" s="227"/>
      <c r="G539" s="227"/>
      <c r="H539" s="227"/>
      <c r="I539" s="228"/>
    </row>
    <row r="542" spans="2:9">
      <c r="B542" s="3" t="s">
        <v>590</v>
      </c>
      <c r="C542" s="4" t="s">
        <v>241</v>
      </c>
      <c r="D542" s="4" t="s">
        <v>242</v>
      </c>
    </row>
    <row r="543" spans="2:9">
      <c r="B543" s="3" t="s">
        <v>591</v>
      </c>
      <c r="C543" s="79" t="s">
        <v>592</v>
      </c>
      <c r="D543" s="79" t="s">
        <v>592</v>
      </c>
    </row>
    <row r="544" spans="2:9">
      <c r="B544" s="3" t="s">
        <v>80</v>
      </c>
      <c r="C544" s="4">
        <v>2200000</v>
      </c>
      <c r="D544" s="4">
        <v>1000000</v>
      </c>
    </row>
    <row r="545" spans="2:4">
      <c r="B545" s="3" t="s">
        <v>733</v>
      </c>
      <c r="C545" s="4" t="s">
        <v>734</v>
      </c>
      <c r="D545" s="4" t="s">
        <v>735</v>
      </c>
    </row>
    <row r="546" spans="2:4">
      <c r="B546" s="3" t="s">
        <v>97</v>
      </c>
      <c r="C546" s="19">
        <v>1992</v>
      </c>
      <c r="D546" s="19">
        <v>1992</v>
      </c>
    </row>
    <row r="547" spans="2:4">
      <c r="B547" s="3" t="s">
        <v>594</v>
      </c>
      <c r="C547" s="79" t="s">
        <v>595</v>
      </c>
      <c r="D547" s="79" t="s">
        <v>595</v>
      </c>
    </row>
    <row r="548" spans="2:4" ht="37.5">
      <c r="B548" s="80" t="s">
        <v>596</v>
      </c>
      <c r="C548" s="81" t="s">
        <v>598</v>
      </c>
      <c r="D548" s="81" t="s">
        <v>598</v>
      </c>
    </row>
    <row r="549" spans="2:4">
      <c r="B549" s="3" t="s">
        <v>599</v>
      </c>
      <c r="C549" s="5">
        <v>11</v>
      </c>
      <c r="D549" s="5">
        <v>7</v>
      </c>
    </row>
    <row r="550" spans="2:4">
      <c r="B550" s="3" t="s">
        <v>600</v>
      </c>
      <c r="C550" s="4" t="s">
        <v>602</v>
      </c>
      <c r="D550" s="4" t="s">
        <v>605</v>
      </c>
    </row>
    <row r="552" spans="2:4">
      <c r="B552" s="24" t="s">
        <v>603</v>
      </c>
    </row>
    <row r="553" spans="2:4">
      <c r="B553" s="3" t="s">
        <v>604</v>
      </c>
      <c r="C553" s="4" t="s">
        <v>606</v>
      </c>
    </row>
    <row r="554" spans="2:4">
      <c r="B554" s="3" t="s">
        <v>601</v>
      </c>
      <c r="C554" s="4">
        <v>1</v>
      </c>
    </row>
    <row r="555" spans="2:4">
      <c r="B555" s="3" t="s">
        <v>605</v>
      </c>
      <c r="C555" s="4">
        <v>0.8</v>
      </c>
    </row>
    <row r="556" spans="2:4">
      <c r="B556" s="3" t="s">
        <v>602</v>
      </c>
      <c r="C556" s="4">
        <v>1.3</v>
      </c>
    </row>
    <row r="557" spans="2:4">
      <c r="B557" s="3"/>
      <c r="C557" s="3"/>
    </row>
    <row r="559" spans="2:4">
      <c r="B559" s="24" t="s">
        <v>607</v>
      </c>
    </row>
    <row r="560" spans="2:4">
      <c r="B560" s="3" t="s">
        <v>594</v>
      </c>
      <c r="C560" s="4" t="s">
        <v>608</v>
      </c>
    </row>
    <row r="561" spans="2:4">
      <c r="B561" s="3" t="s">
        <v>609</v>
      </c>
      <c r="C561" s="22">
        <v>-0.25</v>
      </c>
      <c r="D561" s="1">
        <f>D562+C561</f>
        <v>0.75</v>
      </c>
    </row>
    <row r="562" spans="2:4">
      <c r="B562" s="3" t="s">
        <v>610</v>
      </c>
      <c r="C562" s="22">
        <v>0</v>
      </c>
      <c r="D562" s="1">
        <v>1</v>
      </c>
    </row>
    <row r="563" spans="2:4">
      <c r="B563" s="3" t="s">
        <v>611</v>
      </c>
      <c r="C563" s="22">
        <v>0.2</v>
      </c>
      <c r="D563" s="1">
        <f>D562+C563</f>
        <v>1.2</v>
      </c>
    </row>
    <row r="565" spans="2:4">
      <c r="B565" s="24" t="s">
        <v>612</v>
      </c>
    </row>
    <row r="566" spans="2:4">
      <c r="B566" s="3" t="s">
        <v>613</v>
      </c>
      <c r="C566" s="4" t="s">
        <v>614</v>
      </c>
    </row>
    <row r="567" spans="2:4">
      <c r="B567" s="3" t="s">
        <v>615</v>
      </c>
      <c r="C567" s="4">
        <v>250000</v>
      </c>
    </row>
    <row r="568" spans="2:4">
      <c r="B568" s="3" t="s">
        <v>616</v>
      </c>
      <c r="C568" s="4">
        <v>300000</v>
      </c>
    </row>
    <row r="569" spans="2:4">
      <c r="B569" s="3" t="s">
        <v>617</v>
      </c>
      <c r="C569" s="4">
        <v>315000</v>
      </c>
    </row>
    <row r="570" spans="2:4">
      <c r="B570" s="3" t="s">
        <v>618</v>
      </c>
      <c r="C570" s="4">
        <v>330000</v>
      </c>
    </row>
    <row r="572" spans="2:4">
      <c r="B572" s="24" t="s">
        <v>619</v>
      </c>
    </row>
    <row r="573" spans="2:4">
      <c r="B573" s="3" t="s">
        <v>596</v>
      </c>
      <c r="C573" s="4" t="s">
        <v>620</v>
      </c>
    </row>
    <row r="574" spans="2:4">
      <c r="B574" s="3" t="s">
        <v>598</v>
      </c>
      <c r="C574" s="4">
        <v>3.5</v>
      </c>
    </row>
    <row r="575" spans="2:4">
      <c r="B575" s="3" t="s">
        <v>597</v>
      </c>
      <c r="C575" s="4">
        <v>1</v>
      </c>
    </row>
    <row r="578" spans="2:5">
      <c r="B578" s="3"/>
      <c r="C578" s="4" t="s">
        <v>4</v>
      </c>
      <c r="D578" s="4" t="s">
        <v>241</v>
      </c>
      <c r="E578" s="4" t="s">
        <v>242</v>
      </c>
    </row>
    <row r="579" spans="2:5">
      <c r="B579" s="3" t="s">
        <v>621</v>
      </c>
      <c r="C579" s="79" t="s">
        <v>592</v>
      </c>
      <c r="D579" s="79" t="s">
        <v>592</v>
      </c>
      <c r="E579" s="79" t="s">
        <v>592</v>
      </c>
    </row>
    <row r="580" spans="2:5">
      <c r="B580" s="3" t="s">
        <v>622</v>
      </c>
      <c r="C580" s="3"/>
      <c r="D580" s="4">
        <v>2200000</v>
      </c>
      <c r="E580" s="4">
        <v>1000000</v>
      </c>
    </row>
    <row r="581" spans="2:5">
      <c r="B581" s="3" t="s">
        <v>733</v>
      </c>
      <c r="C581" s="19" t="s">
        <v>735</v>
      </c>
      <c r="D581" s="19" t="s">
        <v>734</v>
      </c>
      <c r="E581" s="19" t="s">
        <v>735</v>
      </c>
    </row>
    <row r="582" spans="2:5">
      <c r="B582" s="3"/>
      <c r="C582" s="3"/>
      <c r="D582" s="54">
        <f>D580/1.18</f>
        <v>1864406.779661017</v>
      </c>
      <c r="E582" s="54">
        <f>E580</f>
        <v>1000000</v>
      </c>
    </row>
    <row r="583" spans="2:5">
      <c r="B583" s="3" t="s">
        <v>623</v>
      </c>
      <c r="C583" s="19">
        <v>1991</v>
      </c>
      <c r="D583" s="19">
        <v>1992</v>
      </c>
      <c r="E583" s="19">
        <v>1992</v>
      </c>
    </row>
    <row r="584" spans="2:5">
      <c r="B584" s="82" t="s">
        <v>590</v>
      </c>
      <c r="C584" s="4">
        <v>250000</v>
      </c>
      <c r="D584" s="4">
        <v>250000</v>
      </c>
      <c r="E584" s="4">
        <v>250000</v>
      </c>
    </row>
    <row r="585" spans="2:5">
      <c r="B585" s="82" t="s">
        <v>12</v>
      </c>
      <c r="C585" s="19"/>
      <c r="D585" s="83">
        <f>C584/D584</f>
        <v>1</v>
      </c>
      <c r="E585" s="83">
        <f>C584/E584</f>
        <v>1</v>
      </c>
    </row>
    <row r="586" spans="2:5">
      <c r="B586" s="3" t="s">
        <v>594</v>
      </c>
      <c r="C586" s="79" t="s">
        <v>717</v>
      </c>
      <c r="D586" s="79" t="s">
        <v>595</v>
      </c>
      <c r="E586" s="79" t="s">
        <v>595</v>
      </c>
    </row>
    <row r="587" spans="2:5">
      <c r="B587" s="82" t="s">
        <v>590</v>
      </c>
      <c r="C587" s="79" t="s">
        <v>718</v>
      </c>
      <c r="D587" s="79" t="s">
        <v>627</v>
      </c>
      <c r="E587" s="79" t="s">
        <v>627</v>
      </c>
    </row>
    <row r="588" spans="2:5">
      <c r="B588" s="82" t="s">
        <v>12</v>
      </c>
      <c r="C588" s="79"/>
      <c r="D588" s="83">
        <f>C587/D587</f>
        <v>0.75</v>
      </c>
      <c r="E588" s="83">
        <f>C587/E587</f>
        <v>0.75</v>
      </c>
    </row>
    <row r="589" spans="2:5" ht="37.5">
      <c r="B589" s="80" t="s">
        <v>596</v>
      </c>
      <c r="C589" s="81" t="s">
        <v>598</v>
      </c>
      <c r="D589" s="81" t="s">
        <v>598</v>
      </c>
      <c r="E589" s="81" t="s">
        <v>598</v>
      </c>
    </row>
    <row r="590" spans="2:5">
      <c r="B590" s="80"/>
      <c r="C590" s="79" t="s">
        <v>628</v>
      </c>
      <c r="D590" s="79" t="s">
        <v>628</v>
      </c>
      <c r="E590" s="79" t="s">
        <v>628</v>
      </c>
    </row>
    <row r="591" spans="2:5">
      <c r="B591" s="80"/>
      <c r="C591" s="79"/>
      <c r="D591" s="83">
        <f>C590/D590</f>
        <v>1</v>
      </c>
      <c r="E591" s="83">
        <f>C590/E590</f>
        <v>1</v>
      </c>
    </row>
    <row r="592" spans="2:5">
      <c r="B592" s="3" t="s">
        <v>625</v>
      </c>
      <c r="C592" s="4" t="s">
        <v>601</v>
      </c>
      <c r="D592" s="4" t="s">
        <v>602</v>
      </c>
      <c r="E592" s="4" t="s">
        <v>605</v>
      </c>
    </row>
    <row r="593" spans="2:9">
      <c r="B593" s="80"/>
      <c r="C593" s="79" t="s">
        <v>627</v>
      </c>
      <c r="D593" s="79" t="s">
        <v>629</v>
      </c>
      <c r="E593" s="79" t="s">
        <v>719</v>
      </c>
    </row>
    <row r="594" spans="2:9">
      <c r="B594" s="80"/>
      <c r="C594" s="79"/>
      <c r="D594" s="83">
        <f>C593/D593</f>
        <v>0.76923076923076916</v>
      </c>
      <c r="E594" s="83">
        <f>C593/E593</f>
        <v>1.25</v>
      </c>
      <c r="F594" s="29" t="s">
        <v>464</v>
      </c>
      <c r="G594" s="29" t="s">
        <v>465</v>
      </c>
    </row>
    <row r="595" spans="2:9">
      <c r="B595" s="80"/>
      <c r="C595" s="4"/>
      <c r="D595" s="4">
        <f>D582*D585*D588*D591*D594</f>
        <v>1075619.2959582789</v>
      </c>
      <c r="E595" s="4">
        <f>E582*E585*E588*E591*E594</f>
        <v>937500</v>
      </c>
      <c r="F595" s="29">
        <f>LN(D595/E595)</f>
        <v>0.1374351061049959</v>
      </c>
      <c r="G595" s="29"/>
    </row>
    <row r="596" spans="2:9">
      <c r="B596" s="3" t="s">
        <v>599</v>
      </c>
      <c r="C596" s="5">
        <v>8</v>
      </c>
      <c r="D596" s="5">
        <v>11</v>
      </c>
      <c r="E596" s="5">
        <v>7</v>
      </c>
      <c r="F596" s="29">
        <f>LN(D596/E596)</f>
        <v>0.45198512374305722</v>
      </c>
      <c r="G596" s="29">
        <f>F595/F596</f>
        <v>0.30406997683207931</v>
      </c>
    </row>
    <row r="597" spans="2:9">
      <c r="B597" s="80" t="s">
        <v>630</v>
      </c>
      <c r="C597" s="4"/>
      <c r="D597" s="4">
        <f>D595*(C596/D596)^G596</f>
        <v>976348.55170277075</v>
      </c>
      <c r="E597" s="4">
        <f>E595*(C596/E596)^G596</f>
        <v>976348.55170277075</v>
      </c>
    </row>
    <row r="598" spans="2:9">
      <c r="B598" s="3" t="s">
        <v>631</v>
      </c>
      <c r="C598" s="15">
        <f>AVERAGE(D597:E597)</f>
        <v>976348.55170277075</v>
      </c>
      <c r="D598" s="3"/>
      <c r="E598" s="3"/>
    </row>
    <row r="599" spans="2:9">
      <c r="B599" s="3" t="s">
        <v>631</v>
      </c>
      <c r="C599" s="15">
        <f>(D597+E597)/2</f>
        <v>976348.55170277075</v>
      </c>
      <c r="D599" s="3"/>
      <c r="E599" s="3"/>
    </row>
    <row r="606" spans="2:9" ht="19.5" thickBot="1"/>
    <row r="607" spans="2:9" ht="40.5" customHeight="1" thickBot="1">
      <c r="B607" s="226" t="s">
        <v>736</v>
      </c>
      <c r="C607" s="227"/>
      <c r="D607" s="227"/>
      <c r="E607" s="227"/>
      <c r="F607" s="227"/>
      <c r="G607" s="227"/>
      <c r="H607" s="227"/>
      <c r="I607" s="228"/>
    </row>
    <row r="610" spans="2:9">
      <c r="B610" s="3" t="s">
        <v>200</v>
      </c>
      <c r="C610" s="4" t="s">
        <v>4</v>
      </c>
      <c r="D610" s="4" t="s">
        <v>241</v>
      </c>
      <c r="E610" s="4" t="s">
        <v>242</v>
      </c>
    </row>
    <row r="611" spans="2:9">
      <c r="B611" s="3" t="s">
        <v>243</v>
      </c>
      <c r="C611" s="3"/>
      <c r="D611" s="4">
        <v>1500000</v>
      </c>
      <c r="E611" s="4">
        <v>1600000</v>
      </c>
    </row>
    <row r="612" spans="2:9">
      <c r="B612" s="3" t="s">
        <v>31</v>
      </c>
      <c r="C612" s="3"/>
      <c r="D612" s="22">
        <v>0.05</v>
      </c>
      <c r="E612" s="22">
        <v>0.05</v>
      </c>
    </row>
    <row r="613" spans="2:9">
      <c r="B613" s="3" t="s">
        <v>244</v>
      </c>
      <c r="C613" s="15">
        <f>AVERAGE(D613:E613)</f>
        <v>1472500</v>
      </c>
      <c r="D613" s="3">
        <f>D611*(1-D612)</f>
        <v>1425000</v>
      </c>
      <c r="E613" s="3">
        <f>E611*(1-E612)</f>
        <v>1520000</v>
      </c>
    </row>
    <row r="620" spans="2:9" ht="19.5" thickBot="1"/>
    <row r="621" spans="2:9" ht="59.25" customHeight="1" thickBot="1">
      <c r="B621" s="226" t="s">
        <v>737</v>
      </c>
      <c r="C621" s="227"/>
      <c r="D621" s="227"/>
      <c r="E621" s="227"/>
      <c r="F621" s="227"/>
      <c r="G621" s="227"/>
      <c r="H621" s="227"/>
      <c r="I621" s="228"/>
    </row>
    <row r="624" spans="2:9">
      <c r="B624" s="3" t="s">
        <v>200</v>
      </c>
      <c r="C624" s="4" t="s">
        <v>4</v>
      </c>
      <c r="D624" s="4" t="s">
        <v>241</v>
      </c>
      <c r="E624" s="4" t="s">
        <v>242</v>
      </c>
      <c r="F624" s="4" t="s">
        <v>561</v>
      </c>
      <c r="G624" s="4" t="s">
        <v>649</v>
      </c>
      <c r="H624" s="4" t="s">
        <v>650</v>
      </c>
    </row>
    <row r="625" spans="2:9">
      <c r="B625" s="3" t="s">
        <v>651</v>
      </c>
      <c r="C625" s="4" t="s">
        <v>652</v>
      </c>
      <c r="D625" s="4" t="s">
        <v>652</v>
      </c>
      <c r="E625" s="4" t="s">
        <v>652</v>
      </c>
      <c r="F625" s="84" t="s">
        <v>653</v>
      </c>
      <c r="G625" s="4" t="s">
        <v>652</v>
      </c>
      <c r="H625" s="4" t="s">
        <v>652</v>
      </c>
    </row>
    <row r="626" spans="2:9">
      <c r="B626" s="3" t="s">
        <v>623</v>
      </c>
      <c r="C626" s="19">
        <v>2010</v>
      </c>
      <c r="D626" s="19">
        <v>2008</v>
      </c>
      <c r="E626" s="19">
        <v>2010</v>
      </c>
      <c r="F626" s="19">
        <v>2009</v>
      </c>
      <c r="G626" s="19">
        <v>2010</v>
      </c>
      <c r="H626" s="85">
        <v>2015</v>
      </c>
    </row>
    <row r="627" spans="2:9">
      <c r="B627" s="3" t="s">
        <v>654</v>
      </c>
      <c r="C627" s="19">
        <v>495045</v>
      </c>
      <c r="D627" s="85">
        <v>830000</v>
      </c>
      <c r="E627" s="19">
        <v>515000</v>
      </c>
      <c r="F627" s="19">
        <v>600000</v>
      </c>
      <c r="G627" s="19">
        <v>470000</v>
      </c>
      <c r="H627" s="85">
        <v>90000</v>
      </c>
    </row>
    <row r="628" spans="2:9">
      <c r="B628" s="3" t="s">
        <v>739</v>
      </c>
      <c r="C628" s="4"/>
      <c r="D628" s="4">
        <v>2500000</v>
      </c>
      <c r="E628" s="4">
        <v>1900000</v>
      </c>
      <c r="F628" s="4">
        <v>900000</v>
      </c>
      <c r="G628" s="4">
        <v>2000000</v>
      </c>
      <c r="H628" s="4">
        <v>5000000</v>
      </c>
    </row>
    <row r="629" spans="2:9">
      <c r="B629" s="3" t="s">
        <v>740</v>
      </c>
      <c r="C629" s="86">
        <v>42735</v>
      </c>
      <c r="D629" s="86">
        <v>43040</v>
      </c>
      <c r="E629" s="86">
        <v>42719</v>
      </c>
      <c r="F629" s="86">
        <v>42675</v>
      </c>
      <c r="G629" s="86">
        <v>42708</v>
      </c>
      <c r="H629" s="86">
        <v>42775</v>
      </c>
    </row>
    <row r="630" spans="2:9">
      <c r="B630" s="3" t="s">
        <v>655</v>
      </c>
      <c r="C630" s="4"/>
      <c r="D630" s="4"/>
      <c r="E630" s="22">
        <f>C627/E627-1</f>
        <v>-3.8747572815533982E-2</v>
      </c>
      <c r="F630" s="4"/>
      <c r="G630" s="22">
        <f>C627/G627-1</f>
        <v>5.32872340425532E-2</v>
      </c>
      <c r="H630" s="4"/>
    </row>
    <row r="631" spans="2:9">
      <c r="B631" s="3" t="s">
        <v>741</v>
      </c>
      <c r="C631" s="4"/>
      <c r="D631" s="4"/>
      <c r="E631" s="4">
        <f>E628/1.18</f>
        <v>1610169.4915254237</v>
      </c>
      <c r="F631" s="4"/>
      <c r="G631" s="4">
        <f>G628/1.18</f>
        <v>1694915.2542372881</v>
      </c>
      <c r="H631" s="4"/>
    </row>
    <row r="632" spans="2:9">
      <c r="B632" s="3" t="s">
        <v>31</v>
      </c>
      <c r="C632" s="4"/>
      <c r="D632" s="22">
        <v>0.1</v>
      </c>
      <c r="E632" s="22">
        <v>0.1</v>
      </c>
      <c r="F632" s="22">
        <v>0.1</v>
      </c>
      <c r="G632" s="22">
        <v>0.1</v>
      </c>
      <c r="H632" s="22">
        <v>0.1</v>
      </c>
      <c r="I632" s="35" t="s">
        <v>742</v>
      </c>
    </row>
    <row r="633" spans="2:9">
      <c r="B633" s="3" t="s">
        <v>656</v>
      </c>
      <c r="C633" s="172">
        <f>AVERAGE(D633:H633)</f>
        <v>1652542.3728813559</v>
      </c>
      <c r="D633" s="4"/>
      <c r="E633" s="4">
        <f>E631</f>
        <v>1610169.4915254237</v>
      </c>
      <c r="F633" s="4"/>
      <c r="G633" s="4">
        <f>G631</f>
        <v>1694915.2542372881</v>
      </c>
      <c r="H633" s="4"/>
    </row>
    <row r="634" spans="2:9">
      <c r="C634" s="1">
        <f>(E633+G633)/2</f>
        <v>1652542.3728813559</v>
      </c>
    </row>
    <row r="635" spans="2:9">
      <c r="B635" s="35" t="s">
        <v>738</v>
      </c>
    </row>
    <row r="642" spans="2:9" ht="19.5" thickBot="1"/>
    <row r="643" spans="2:9" ht="78.75" customHeight="1" thickBot="1">
      <c r="B643" s="226" t="s">
        <v>1143</v>
      </c>
      <c r="C643" s="227"/>
      <c r="D643" s="227"/>
      <c r="E643" s="227"/>
      <c r="F643" s="227"/>
      <c r="G643" s="227"/>
      <c r="H643" s="227"/>
      <c r="I643" s="228"/>
    </row>
    <row r="646" spans="2:9">
      <c r="B646" s="3" t="s">
        <v>590</v>
      </c>
      <c r="C646" s="4" t="s">
        <v>241</v>
      </c>
      <c r="D646" s="4" t="s">
        <v>242</v>
      </c>
    </row>
    <row r="647" spans="2:9">
      <c r="B647" s="3" t="s">
        <v>591</v>
      </c>
      <c r="C647" s="79" t="s">
        <v>592</v>
      </c>
      <c r="D647" s="79" t="s">
        <v>592</v>
      </c>
    </row>
    <row r="648" spans="2:9">
      <c r="B648" s="3" t="s">
        <v>80</v>
      </c>
      <c r="C648" s="4">
        <v>450000</v>
      </c>
      <c r="D648" s="4">
        <v>2200000</v>
      </c>
    </row>
    <row r="649" spans="2:9">
      <c r="B649" s="3" t="s">
        <v>733</v>
      </c>
      <c r="C649" s="4" t="s">
        <v>734</v>
      </c>
      <c r="D649" s="4" t="s">
        <v>734</v>
      </c>
    </row>
    <row r="650" spans="2:9">
      <c r="B650" s="3" t="s">
        <v>97</v>
      </c>
      <c r="C650" s="19">
        <v>2000</v>
      </c>
      <c r="D650" s="19">
        <v>2004</v>
      </c>
    </row>
    <row r="651" spans="2:9">
      <c r="B651" s="3" t="s">
        <v>594</v>
      </c>
      <c r="C651" s="79" t="s">
        <v>595</v>
      </c>
      <c r="D651" s="79" t="s">
        <v>595</v>
      </c>
    </row>
    <row r="652" spans="2:9" ht="37.5">
      <c r="B652" s="80" t="s">
        <v>596</v>
      </c>
      <c r="C652" s="81" t="s">
        <v>597</v>
      </c>
      <c r="D652" s="81" t="s">
        <v>598</v>
      </c>
    </row>
    <row r="653" spans="2:9">
      <c r="B653" s="3" t="s">
        <v>599</v>
      </c>
      <c r="C653" s="5">
        <v>5</v>
      </c>
      <c r="D653" s="5">
        <v>12</v>
      </c>
    </row>
    <row r="654" spans="2:9">
      <c r="B654" s="3" t="s">
        <v>600</v>
      </c>
      <c r="C654" s="4" t="s">
        <v>601</v>
      </c>
      <c r="D654" s="4" t="s">
        <v>602</v>
      </c>
    </row>
    <row r="656" spans="2:9">
      <c r="B656" s="24" t="s">
        <v>603</v>
      </c>
    </row>
    <row r="657" spans="2:4">
      <c r="B657" s="3" t="s">
        <v>604</v>
      </c>
      <c r="C657" s="4" t="s">
        <v>606</v>
      </c>
    </row>
    <row r="658" spans="2:4">
      <c r="B658" s="3" t="s">
        <v>601</v>
      </c>
      <c r="C658" s="4">
        <v>1</v>
      </c>
    </row>
    <row r="659" spans="2:4">
      <c r="B659" s="3" t="s">
        <v>605</v>
      </c>
      <c r="C659" s="4">
        <v>0.8</v>
      </c>
    </row>
    <row r="660" spans="2:4">
      <c r="B660" s="3" t="s">
        <v>602</v>
      </c>
      <c r="C660" s="4">
        <v>1.3</v>
      </c>
    </row>
    <row r="661" spans="2:4">
      <c r="B661" s="3"/>
      <c r="C661" s="3"/>
    </row>
    <row r="663" spans="2:4">
      <c r="B663" s="24" t="s">
        <v>607</v>
      </c>
    </row>
    <row r="664" spans="2:4">
      <c r="B664" s="3" t="s">
        <v>594</v>
      </c>
      <c r="C664" s="4" t="s">
        <v>608</v>
      </c>
    </row>
    <row r="665" spans="2:4">
      <c r="B665" s="3" t="s">
        <v>609</v>
      </c>
      <c r="C665" s="22">
        <v>-0.25</v>
      </c>
      <c r="D665" s="1">
        <f>D666+C665</f>
        <v>0.75</v>
      </c>
    </row>
    <row r="666" spans="2:4">
      <c r="B666" s="3" t="s">
        <v>610</v>
      </c>
      <c r="C666" s="22">
        <v>0</v>
      </c>
      <c r="D666" s="1">
        <v>1</v>
      </c>
    </row>
    <row r="667" spans="2:4">
      <c r="B667" s="3" t="s">
        <v>611</v>
      </c>
      <c r="C667" s="22">
        <v>0.2</v>
      </c>
      <c r="D667" s="1">
        <f>D666+C667</f>
        <v>1.2</v>
      </c>
    </row>
    <row r="669" spans="2:4">
      <c r="B669" s="24" t="s">
        <v>612</v>
      </c>
    </row>
    <row r="670" spans="2:4">
      <c r="B670" s="3" t="s">
        <v>613</v>
      </c>
      <c r="C670" s="4" t="s">
        <v>614</v>
      </c>
    </row>
    <row r="671" spans="2:4">
      <c r="B671" s="3" t="s">
        <v>615</v>
      </c>
      <c r="C671" s="4">
        <v>250000</v>
      </c>
    </row>
    <row r="672" spans="2:4">
      <c r="B672" s="3" t="s">
        <v>616</v>
      </c>
      <c r="C672" s="4">
        <v>300000</v>
      </c>
    </row>
    <row r="673" spans="2:5">
      <c r="B673" s="3" t="s">
        <v>617</v>
      </c>
      <c r="C673" s="4">
        <v>315000</v>
      </c>
    </row>
    <row r="674" spans="2:5">
      <c r="B674" s="3" t="s">
        <v>618</v>
      </c>
      <c r="C674" s="4">
        <v>330000</v>
      </c>
    </row>
    <row r="676" spans="2:5">
      <c r="B676" s="24" t="s">
        <v>619</v>
      </c>
    </row>
    <row r="677" spans="2:5">
      <c r="B677" s="3" t="s">
        <v>596</v>
      </c>
      <c r="C677" s="4" t="s">
        <v>620</v>
      </c>
    </row>
    <row r="678" spans="2:5">
      <c r="B678" s="3" t="s">
        <v>598</v>
      </c>
      <c r="C678" s="4">
        <v>3.5</v>
      </c>
    </row>
    <row r="679" spans="2:5">
      <c r="B679" s="3" t="s">
        <v>597</v>
      </c>
      <c r="C679" s="4">
        <v>1</v>
      </c>
    </row>
    <row r="682" spans="2:5">
      <c r="B682" s="3"/>
      <c r="C682" s="4" t="s">
        <v>4</v>
      </c>
      <c r="D682" s="4" t="s">
        <v>241</v>
      </c>
      <c r="E682" s="4" t="s">
        <v>242</v>
      </c>
    </row>
    <row r="683" spans="2:5">
      <c r="B683" s="3" t="s">
        <v>621</v>
      </c>
      <c r="C683" s="79" t="s">
        <v>592</v>
      </c>
      <c r="D683" s="79" t="s">
        <v>592</v>
      </c>
      <c r="E683" s="79" t="s">
        <v>592</v>
      </c>
    </row>
    <row r="684" spans="2:5">
      <c r="B684" s="3" t="s">
        <v>622</v>
      </c>
      <c r="C684" s="3"/>
      <c r="D684" s="4">
        <v>450000</v>
      </c>
      <c r="E684" s="4">
        <v>2200000</v>
      </c>
    </row>
    <row r="685" spans="2:5">
      <c r="B685" s="3" t="s">
        <v>733</v>
      </c>
      <c r="C685" s="19" t="s">
        <v>734</v>
      </c>
      <c r="D685" s="19" t="s">
        <v>734</v>
      </c>
      <c r="E685" s="19" t="s">
        <v>734</v>
      </c>
    </row>
    <row r="686" spans="2:5">
      <c r="B686" s="3"/>
      <c r="C686" s="3"/>
      <c r="D686" s="54">
        <f>D684</f>
        <v>450000</v>
      </c>
      <c r="E686" s="54">
        <f>E684</f>
        <v>2200000</v>
      </c>
    </row>
    <row r="687" spans="2:5">
      <c r="B687" s="3" t="s">
        <v>623</v>
      </c>
      <c r="C687" s="19">
        <v>1999</v>
      </c>
      <c r="D687" s="19">
        <v>2000</v>
      </c>
      <c r="E687" s="19">
        <v>2004</v>
      </c>
    </row>
    <row r="688" spans="2:5">
      <c r="B688" s="82" t="s">
        <v>590</v>
      </c>
      <c r="C688" s="4">
        <v>315000</v>
      </c>
      <c r="D688" s="4">
        <v>315000</v>
      </c>
      <c r="E688" s="4">
        <v>330000</v>
      </c>
    </row>
    <row r="689" spans="2:7">
      <c r="B689" s="82" t="s">
        <v>12</v>
      </c>
      <c r="C689" s="19"/>
      <c r="D689" s="83">
        <f>C688/D688</f>
        <v>1</v>
      </c>
      <c r="E689" s="99">
        <v>1</v>
      </c>
      <c r="F689" s="35" t="s">
        <v>743</v>
      </c>
    </row>
    <row r="690" spans="2:7">
      <c r="B690" s="3" t="s">
        <v>594</v>
      </c>
      <c r="C690" s="79" t="s">
        <v>624</v>
      </c>
      <c r="D690" s="79" t="s">
        <v>595</v>
      </c>
      <c r="E690" s="79" t="s">
        <v>595</v>
      </c>
    </row>
    <row r="691" spans="2:7">
      <c r="B691" s="82" t="s">
        <v>590</v>
      </c>
      <c r="C691" s="79" t="s">
        <v>626</v>
      </c>
      <c r="D691" s="79" t="s">
        <v>627</v>
      </c>
      <c r="E691" s="79" t="s">
        <v>627</v>
      </c>
    </row>
    <row r="692" spans="2:7">
      <c r="B692" s="82" t="s">
        <v>12</v>
      </c>
      <c r="C692" s="79"/>
      <c r="D692" s="83">
        <f>C691/D691</f>
        <v>1.2</v>
      </c>
      <c r="E692" s="83">
        <f>C691/E691</f>
        <v>1.2</v>
      </c>
    </row>
    <row r="693" spans="2:7" ht="37.5">
      <c r="B693" s="80" t="s">
        <v>596</v>
      </c>
      <c r="C693" s="81" t="s">
        <v>597</v>
      </c>
      <c r="D693" s="81" t="s">
        <v>597</v>
      </c>
      <c r="E693" s="81" t="s">
        <v>598</v>
      </c>
    </row>
    <row r="694" spans="2:7">
      <c r="B694" s="80"/>
      <c r="C694" s="79" t="s">
        <v>627</v>
      </c>
      <c r="D694" s="79" t="s">
        <v>627</v>
      </c>
      <c r="E694" s="79" t="s">
        <v>628</v>
      </c>
    </row>
    <row r="695" spans="2:7">
      <c r="B695" s="80"/>
      <c r="C695" s="79"/>
      <c r="D695" s="83">
        <f>C694/D694</f>
        <v>1</v>
      </c>
      <c r="E695" s="83">
        <f>C694/E694</f>
        <v>0.2857142857142857</v>
      </c>
    </row>
    <row r="696" spans="2:7">
      <c r="B696" s="3" t="s">
        <v>625</v>
      </c>
      <c r="C696" s="4" t="s">
        <v>602</v>
      </c>
      <c r="D696" s="4" t="s">
        <v>601</v>
      </c>
      <c r="E696" s="4" t="s">
        <v>602</v>
      </c>
    </row>
    <row r="697" spans="2:7">
      <c r="B697" s="80"/>
      <c r="C697" s="79" t="s">
        <v>629</v>
      </c>
      <c r="D697" s="79" t="s">
        <v>627</v>
      </c>
      <c r="E697" s="79" t="s">
        <v>629</v>
      </c>
    </row>
    <row r="698" spans="2:7">
      <c r="B698" s="80"/>
      <c r="C698" s="79"/>
      <c r="D698" s="83">
        <f>C697/D697</f>
        <v>1.3</v>
      </c>
      <c r="E698" s="83">
        <f>C697/E697</f>
        <v>1</v>
      </c>
      <c r="F698" s="29" t="s">
        <v>464</v>
      </c>
      <c r="G698" s="29" t="s">
        <v>465</v>
      </c>
    </row>
    <row r="699" spans="2:7">
      <c r="B699" s="80"/>
      <c r="C699" s="4"/>
      <c r="D699" s="4">
        <f>D686*D689*D692*D695*D698</f>
        <v>702000</v>
      </c>
      <c r="E699" s="4">
        <f>E686*E689*E692*E695*E698</f>
        <v>754285.7142857142</v>
      </c>
      <c r="F699" s="29">
        <f>LN(D699/E699)</f>
        <v>-7.1837823619182631E-2</v>
      </c>
      <c r="G699" s="29"/>
    </row>
    <row r="700" spans="2:7">
      <c r="B700" s="3" t="s">
        <v>599</v>
      </c>
      <c r="C700" s="5">
        <v>7</v>
      </c>
      <c r="D700" s="5">
        <v>5</v>
      </c>
      <c r="E700" s="5">
        <v>12</v>
      </c>
      <c r="F700" s="29">
        <f>LN(D700/E700)</f>
        <v>-0.87546873735389985</v>
      </c>
      <c r="G700" s="29">
        <f>F699/F700</f>
        <v>8.2056412244156329E-2</v>
      </c>
    </row>
    <row r="701" spans="2:7">
      <c r="B701" s="80" t="s">
        <v>630</v>
      </c>
      <c r="C701" s="4"/>
      <c r="D701" s="4">
        <f>D699*(C700/D700)^G700</f>
        <v>721652.05798213603</v>
      </c>
      <c r="E701" s="4">
        <f>E699*(C700/E700)^G700</f>
        <v>721652.05798213603</v>
      </c>
    </row>
    <row r="702" spans="2:7">
      <c r="B702" s="3" t="s">
        <v>631</v>
      </c>
      <c r="C702" s="15">
        <f>AVERAGE(D701:E701)</f>
        <v>721652.05798213603</v>
      </c>
      <c r="D702" s="3"/>
      <c r="E702" s="3"/>
    </row>
    <row r="703" spans="2:7">
      <c r="B703" s="3" t="s">
        <v>631</v>
      </c>
      <c r="C703" s="15">
        <f>(D701+E701)/2</f>
        <v>721652.05798213603</v>
      </c>
      <c r="D703" s="3"/>
      <c r="E703" s="3"/>
    </row>
    <row r="710" spans="2:9" ht="19.5" thickBot="1"/>
    <row r="711" spans="2:9" ht="18.600000000000001" customHeight="1" thickBot="1">
      <c r="B711" s="226" t="s">
        <v>746</v>
      </c>
      <c r="C711" s="227"/>
      <c r="D711" s="227"/>
      <c r="E711" s="227"/>
      <c r="F711" s="227"/>
      <c r="G711" s="227"/>
      <c r="H711" s="227"/>
      <c r="I711" s="228"/>
    </row>
    <row r="714" spans="2:9">
      <c r="B714" s="3" t="s">
        <v>274</v>
      </c>
      <c r="C714" s="3">
        <v>120000</v>
      </c>
    </row>
    <row r="715" spans="2:9">
      <c r="B715" s="3" t="s">
        <v>744</v>
      </c>
      <c r="C715" s="9">
        <v>0.5</v>
      </c>
    </row>
    <row r="716" spans="2:9">
      <c r="B716" s="3" t="s">
        <v>722</v>
      </c>
      <c r="C716" s="9">
        <v>0.7</v>
      </c>
    </row>
    <row r="717" spans="2:9">
      <c r="B717" s="6" t="s">
        <v>7</v>
      </c>
      <c r="C717" s="3"/>
    </row>
    <row r="718" spans="2:9">
      <c r="B718" s="3" t="s">
        <v>745</v>
      </c>
      <c r="C718" s="15">
        <f>(1-C716)/(1-C715)</f>
        <v>0.60000000000000009</v>
      </c>
      <c r="D718" s="35" t="s">
        <v>634</v>
      </c>
    </row>
    <row r="725" spans="2:9" ht="19.5" thickBot="1"/>
    <row r="726" spans="2:9" ht="58.5" customHeight="1" thickBot="1">
      <c r="B726" s="226" t="s">
        <v>747</v>
      </c>
      <c r="C726" s="227"/>
      <c r="D726" s="227"/>
      <c r="E726" s="227"/>
      <c r="F726" s="227"/>
      <c r="G726" s="227"/>
      <c r="H726" s="227"/>
      <c r="I726" s="228"/>
    </row>
    <row r="729" spans="2:9">
      <c r="B729" s="3" t="s">
        <v>200</v>
      </c>
      <c r="C729" s="4" t="s">
        <v>4</v>
      </c>
      <c r="D729" s="4" t="s">
        <v>241</v>
      </c>
      <c r="E729" s="4" t="s">
        <v>242</v>
      </c>
    </row>
    <row r="730" spans="2:9">
      <c r="B730" s="3" t="s">
        <v>243</v>
      </c>
      <c r="C730" s="3"/>
      <c r="D730" s="4">
        <v>2000000</v>
      </c>
      <c r="E730" s="4">
        <v>2200000</v>
      </c>
    </row>
    <row r="731" spans="2:9">
      <c r="B731" s="3" t="s">
        <v>31</v>
      </c>
      <c r="C731" s="3"/>
      <c r="D731" s="22">
        <v>0.05</v>
      </c>
      <c r="E731" s="22">
        <v>0.05</v>
      </c>
    </row>
    <row r="732" spans="2:9">
      <c r="B732" s="3" t="s">
        <v>244</v>
      </c>
      <c r="C732" s="3"/>
      <c r="D732" s="4">
        <f>D730*(1-D731)</f>
        <v>1900000</v>
      </c>
      <c r="E732" s="4">
        <f>E730*(1-E731)</f>
        <v>2090000</v>
      </c>
    </row>
    <row r="733" spans="2:9">
      <c r="B733" s="3" t="s">
        <v>748</v>
      </c>
      <c r="C733" s="3"/>
      <c r="D733" s="4">
        <v>300000</v>
      </c>
      <c r="E733" s="4">
        <v>300000</v>
      </c>
      <c r="F733" s="35" t="s">
        <v>1144</v>
      </c>
    </row>
    <row r="734" spans="2:9">
      <c r="B734" s="3" t="s">
        <v>656</v>
      </c>
      <c r="C734" s="15">
        <f>AVERAGE(D734:E734)</f>
        <v>1695000</v>
      </c>
      <c r="D734" s="4">
        <f>D732-D733</f>
        <v>1600000</v>
      </c>
      <c r="E734" s="4">
        <f>E732-E733</f>
        <v>1790000</v>
      </c>
    </row>
    <row r="741" spans="2:9" ht="19.5" thickBot="1"/>
    <row r="742" spans="2:9" ht="40.5" customHeight="1" thickBot="1">
      <c r="B742" s="226" t="s">
        <v>1145</v>
      </c>
      <c r="C742" s="227"/>
      <c r="D742" s="227"/>
      <c r="E742" s="227"/>
      <c r="F742" s="227"/>
      <c r="G742" s="227"/>
      <c r="H742" s="227"/>
      <c r="I742" s="228"/>
    </row>
    <row r="745" spans="2:9">
      <c r="C745" s="29" t="s">
        <v>4</v>
      </c>
      <c r="D745" s="29" t="s">
        <v>5</v>
      </c>
    </row>
    <row r="746" spans="2:9" ht="19.5" thickBot="1">
      <c r="B746" s="3"/>
      <c r="C746" s="91" t="s">
        <v>749</v>
      </c>
      <c r="D746" s="97" t="s">
        <v>750</v>
      </c>
      <c r="E746" s="4" t="s">
        <v>705</v>
      </c>
      <c r="F746" s="4" t="s">
        <v>12</v>
      </c>
    </row>
    <row r="747" spans="2:9" ht="19.5" thickTop="1">
      <c r="B747" s="28" t="s">
        <v>751</v>
      </c>
      <c r="C747" s="94">
        <v>1</v>
      </c>
      <c r="D747" s="95">
        <v>1.3</v>
      </c>
      <c r="E747" s="89">
        <f>C747/D747</f>
        <v>0.76923076923076916</v>
      </c>
      <c r="F747" s="197">
        <f>E747-1</f>
        <v>-0.23076923076923084</v>
      </c>
      <c r="G747" s="24" t="s">
        <v>752</v>
      </c>
    </row>
    <row r="750" spans="2:9" ht="19.5" thickBot="1"/>
    <row r="751" spans="2:9" ht="18.600000000000001" customHeight="1" thickBot="1">
      <c r="B751" s="226" t="s">
        <v>1146</v>
      </c>
      <c r="C751" s="227"/>
      <c r="D751" s="227"/>
      <c r="E751" s="227"/>
      <c r="F751" s="227"/>
      <c r="G751" s="227"/>
      <c r="H751" s="227"/>
      <c r="I751" s="228"/>
    </row>
    <row r="754" spans="2:9">
      <c r="B754" s="1" t="s">
        <v>82</v>
      </c>
      <c r="C754" s="152">
        <v>0.5</v>
      </c>
      <c r="D754" s="152">
        <v>0.4</v>
      </c>
    </row>
    <row r="755" spans="2:9">
      <c r="C755" s="29"/>
      <c r="D755" s="29"/>
    </row>
    <row r="756" spans="2:9" ht="19.5" thickBot="1">
      <c r="B756" s="3"/>
      <c r="C756" s="150" t="s">
        <v>4</v>
      </c>
      <c r="D756" s="151" t="s">
        <v>5</v>
      </c>
      <c r="E756" s="4" t="s">
        <v>705</v>
      </c>
      <c r="F756" s="4" t="s">
        <v>12</v>
      </c>
    </row>
    <row r="757" spans="2:9" ht="19.5" thickTop="1">
      <c r="B757" s="28" t="s">
        <v>274</v>
      </c>
      <c r="C757" s="94">
        <f>(1-C754)</f>
        <v>0.5</v>
      </c>
      <c r="D757" s="95">
        <f>(1-D754)</f>
        <v>0.6</v>
      </c>
      <c r="E757" s="203">
        <f>C757/D757</f>
        <v>0.83333333333333337</v>
      </c>
      <c r="F757" s="21">
        <f>E757-1</f>
        <v>-0.16666666666666663</v>
      </c>
      <c r="G757" s="24" t="s">
        <v>1108</v>
      </c>
    </row>
    <row r="759" spans="2:9">
      <c r="C759" s="35" t="s">
        <v>1109</v>
      </c>
    </row>
    <row r="762" spans="2:9" ht="19.5" thickBot="1"/>
    <row r="763" spans="2:9" ht="171" customHeight="1" thickBot="1">
      <c r="B763" s="226" t="s">
        <v>1148</v>
      </c>
      <c r="C763" s="227"/>
      <c r="D763" s="227"/>
      <c r="E763" s="227"/>
      <c r="F763" s="227"/>
      <c r="G763" s="227"/>
      <c r="H763" s="227"/>
      <c r="I763" s="228"/>
    </row>
    <row r="765" spans="2:9">
      <c r="B765" s="128" t="s">
        <v>1147</v>
      </c>
    </row>
    <row r="768" spans="2:9" ht="19.5" thickBot="1"/>
    <row r="769" spans="2:9" ht="38.450000000000003" customHeight="1" thickBot="1">
      <c r="B769" s="226" t="s">
        <v>1365</v>
      </c>
      <c r="C769" s="227"/>
      <c r="D769" s="227"/>
      <c r="E769" s="227"/>
      <c r="F769" s="227"/>
      <c r="G769" s="227"/>
      <c r="H769" s="227"/>
      <c r="I769" s="228"/>
    </row>
    <row r="771" spans="2:9">
      <c r="B771" s="3" t="s">
        <v>1366</v>
      </c>
      <c r="C771" s="3">
        <v>130000</v>
      </c>
    </row>
    <row r="772" spans="2:9">
      <c r="B772" s="3" t="s">
        <v>1368</v>
      </c>
      <c r="C772" s="3">
        <v>46000</v>
      </c>
    </row>
    <row r="773" spans="2:9">
      <c r="B773" s="3" t="s">
        <v>1367</v>
      </c>
      <c r="C773" s="112">
        <v>0.6</v>
      </c>
    </row>
    <row r="774" spans="2:9">
      <c r="B774" s="3" t="s">
        <v>31</v>
      </c>
      <c r="C774" s="112">
        <v>0.05</v>
      </c>
    </row>
    <row r="775" spans="2:9">
      <c r="B775" s="6" t="s">
        <v>7</v>
      </c>
      <c r="C775" s="3"/>
    </row>
    <row r="776" spans="2:9">
      <c r="B776" s="3" t="s">
        <v>1369</v>
      </c>
      <c r="C776" s="3">
        <f>C772*(1-C774)</f>
        <v>43700</v>
      </c>
    </row>
    <row r="777" spans="2:9">
      <c r="B777" s="3" t="s">
        <v>1370</v>
      </c>
      <c r="C777" s="3">
        <f>C776/(1-C773)</f>
        <v>109250</v>
      </c>
    </row>
    <row r="778" spans="2:9">
      <c r="B778" s="3" t="s">
        <v>1371</v>
      </c>
      <c r="C778" s="15">
        <f>C777/C771</f>
        <v>0.8403846153846154</v>
      </c>
    </row>
    <row r="781" spans="2:9" ht="19.5" thickBot="1"/>
    <row r="782" spans="2:9" ht="38.450000000000003" customHeight="1" thickBot="1">
      <c r="B782" s="226" t="s">
        <v>1372</v>
      </c>
      <c r="C782" s="227"/>
      <c r="D782" s="227"/>
      <c r="E782" s="227"/>
      <c r="F782" s="227"/>
      <c r="G782" s="227"/>
      <c r="H782" s="227"/>
      <c r="I782" s="228"/>
    </row>
    <row r="784" spans="2:9">
      <c r="B784" s="3" t="s">
        <v>1373</v>
      </c>
      <c r="C784" s="3">
        <v>50</v>
      </c>
    </row>
    <row r="785" spans="2:10">
      <c r="B785" s="6" t="s">
        <v>7</v>
      </c>
      <c r="C785" s="3"/>
    </row>
    <row r="786" spans="2:10">
      <c r="B786" s="3" t="s">
        <v>1375</v>
      </c>
      <c r="C786" s="3">
        <f>6-0.1*15</f>
        <v>4.5</v>
      </c>
    </row>
    <row r="787" spans="2:10">
      <c r="B787" s="3" t="s">
        <v>1374</v>
      </c>
      <c r="C787" s="3">
        <f>C786*15</f>
        <v>67.5</v>
      </c>
    </row>
    <row r="788" spans="2:10">
      <c r="B788" s="3" t="s">
        <v>1376</v>
      </c>
      <c r="C788" s="3">
        <f>6-0.1*10</f>
        <v>5</v>
      </c>
    </row>
    <row r="789" spans="2:10">
      <c r="B789" s="3" t="s">
        <v>1377</v>
      </c>
      <c r="C789" s="3">
        <f>C788*10</f>
        <v>50</v>
      </c>
    </row>
    <row r="790" spans="2:10">
      <c r="B790" s="3" t="s">
        <v>12</v>
      </c>
      <c r="C790" s="15">
        <f>C787-C789</f>
        <v>17.5</v>
      </c>
    </row>
    <row r="793" spans="2:10" ht="19.5" thickBot="1"/>
    <row r="794" spans="2:10" ht="132" customHeight="1" thickBot="1">
      <c r="B794" s="226" t="s">
        <v>1378</v>
      </c>
      <c r="C794" s="227"/>
      <c r="D794" s="227"/>
      <c r="E794" s="227"/>
      <c r="F794" s="227"/>
      <c r="G794" s="227"/>
      <c r="H794" s="227"/>
      <c r="I794" s="228"/>
    </row>
    <row r="796" spans="2:10">
      <c r="B796" s="3"/>
      <c r="C796" s="4" t="s">
        <v>1379</v>
      </c>
      <c r="D796" s="4" t="s">
        <v>1380</v>
      </c>
      <c r="E796" s="4" t="s">
        <v>80</v>
      </c>
      <c r="F796" s="3" t="s">
        <v>31</v>
      </c>
      <c r="G796" s="4" t="s">
        <v>80</v>
      </c>
      <c r="H796" s="4" t="s">
        <v>82</v>
      </c>
      <c r="I796" s="4" t="s">
        <v>1336</v>
      </c>
    </row>
    <row r="797" spans="2:10">
      <c r="B797" s="3" t="s">
        <v>1131</v>
      </c>
      <c r="C797" s="54">
        <v>40</v>
      </c>
      <c r="D797" s="54">
        <v>10</v>
      </c>
      <c r="E797" s="4">
        <v>10000</v>
      </c>
      <c r="F797" s="109">
        <v>0.1</v>
      </c>
      <c r="G797" s="3">
        <f>E797*(1-F797)</f>
        <v>9000</v>
      </c>
      <c r="H797" s="109">
        <v>0</v>
      </c>
      <c r="I797" s="10">
        <f>G797/(1-H797)</f>
        <v>9000</v>
      </c>
    </row>
    <row r="798" spans="2:10">
      <c r="B798" s="3" t="s">
        <v>1132</v>
      </c>
      <c r="C798" s="54">
        <v>32</v>
      </c>
      <c r="D798" s="54">
        <v>24</v>
      </c>
      <c r="E798" s="4">
        <v>9500</v>
      </c>
      <c r="F798" s="109">
        <v>0</v>
      </c>
      <c r="G798" s="3">
        <f t="shared" ref="G798:G799" si="1">E798*(1-F798)</f>
        <v>9500</v>
      </c>
      <c r="H798" s="109">
        <v>0.5</v>
      </c>
      <c r="I798" s="10">
        <f>G798/(1-H798)</f>
        <v>19000</v>
      </c>
    </row>
    <row r="799" spans="2:10">
      <c r="B799" s="3" t="s">
        <v>1133</v>
      </c>
      <c r="C799" s="54">
        <v>20</v>
      </c>
      <c r="D799" s="54">
        <v>24</v>
      </c>
      <c r="E799" s="4">
        <v>12000</v>
      </c>
      <c r="F799" s="109">
        <v>0.1</v>
      </c>
      <c r="G799" s="3">
        <f t="shared" si="1"/>
        <v>10800</v>
      </c>
      <c r="H799" s="109">
        <v>0.35</v>
      </c>
      <c r="I799" s="10">
        <f>G799/(1-H799)</f>
        <v>16615.384615384613</v>
      </c>
    </row>
    <row r="800" spans="2:10">
      <c r="B800" s="3" t="s">
        <v>1027</v>
      </c>
      <c r="C800" s="54">
        <v>50</v>
      </c>
      <c r="D800" s="54">
        <v>16</v>
      </c>
      <c r="E800" s="3"/>
      <c r="F800" s="3"/>
      <c r="G800" s="3"/>
      <c r="H800" s="3"/>
      <c r="I800" s="15">
        <f>TREND(I797:I799,C797:D799,C800:D800)</f>
        <v>15954.212454212462</v>
      </c>
      <c r="J800" s="35" t="s">
        <v>1632</v>
      </c>
    </row>
    <row r="802" spans="2:9">
      <c r="C802" s="4" t="s">
        <v>1588</v>
      </c>
      <c r="D802" s="4" t="s">
        <v>1634</v>
      </c>
      <c r="E802" s="4" t="s">
        <v>1589</v>
      </c>
    </row>
    <row r="803" spans="2:9">
      <c r="C803" s="225">
        <f t="array" ref="C803:E803">LINEST(I797:I799,C797:D799)</f>
        <v>827.83882783882791</v>
      </c>
      <c r="D803" s="225">
        <v>198.71794871794918</v>
      </c>
      <c r="E803" s="225">
        <v>-7227.1062271062438</v>
      </c>
    </row>
    <row r="804" spans="2:9">
      <c r="C804" s="3">
        <f>D800*C803</f>
        <v>13245.421245421247</v>
      </c>
      <c r="D804" s="3">
        <f>C800*D803</f>
        <v>9935.8974358974592</v>
      </c>
      <c r="E804" s="3">
        <f>E803</f>
        <v>-7227.1062271062438</v>
      </c>
      <c r="F804" s="15">
        <f>SUM(C804:E804)</f>
        <v>15954.212454212462</v>
      </c>
      <c r="G804" s="35" t="s">
        <v>1633</v>
      </c>
    </row>
    <row r="807" spans="2:9" ht="19.5" thickBot="1"/>
    <row r="808" spans="2:9" ht="132.6" customHeight="1" thickBot="1">
      <c r="B808" s="226" t="s">
        <v>1381</v>
      </c>
      <c r="C808" s="227"/>
      <c r="D808" s="227"/>
      <c r="E808" s="227"/>
      <c r="F808" s="227"/>
      <c r="G808" s="227"/>
      <c r="H808" s="227"/>
      <c r="I808" s="228"/>
    </row>
    <row r="810" spans="2:9">
      <c r="B810" s="3" t="s">
        <v>590</v>
      </c>
      <c r="C810" s="4" t="s">
        <v>1131</v>
      </c>
      <c r="D810" s="4" t="s">
        <v>1132</v>
      </c>
    </row>
    <row r="811" spans="2:9">
      <c r="B811" s="3" t="s">
        <v>1382</v>
      </c>
      <c r="C811" s="4" t="s">
        <v>646</v>
      </c>
      <c r="D811" s="4" t="s">
        <v>646</v>
      </c>
    </row>
    <row r="812" spans="2:9">
      <c r="B812" s="3" t="s">
        <v>1383</v>
      </c>
      <c r="C812" s="4" t="s">
        <v>1384</v>
      </c>
      <c r="D812" s="4" t="s">
        <v>1384</v>
      </c>
    </row>
    <row r="813" spans="2:9">
      <c r="B813" s="3" t="s">
        <v>1385</v>
      </c>
      <c r="C813" s="3">
        <v>500000</v>
      </c>
      <c r="D813" s="3">
        <v>1000000</v>
      </c>
    </row>
    <row r="814" spans="2:9">
      <c r="B814" s="3" t="s">
        <v>1386</v>
      </c>
      <c r="C814" s="4" t="s">
        <v>601</v>
      </c>
      <c r="D814" s="4" t="s">
        <v>1387</v>
      </c>
    </row>
    <row r="815" spans="2:9">
      <c r="B815" s="3" t="s">
        <v>582</v>
      </c>
      <c r="C815" s="19">
        <v>500</v>
      </c>
      <c r="D815" s="19">
        <v>700</v>
      </c>
    </row>
    <row r="816" spans="2:9">
      <c r="B816" s="3" t="s">
        <v>1388</v>
      </c>
      <c r="C816" s="19">
        <v>2004</v>
      </c>
      <c r="D816" s="19">
        <v>2005</v>
      </c>
    </row>
    <row r="817" spans="2:7">
      <c r="B817" s="3" t="s">
        <v>20</v>
      </c>
      <c r="C817" s="19">
        <v>12</v>
      </c>
      <c r="D817" s="3"/>
    </row>
    <row r="818" spans="2:7">
      <c r="B818" s="3" t="s">
        <v>1389</v>
      </c>
      <c r="C818" s="86">
        <v>42736</v>
      </c>
      <c r="D818" s="86">
        <v>42005</v>
      </c>
    </row>
    <row r="820" spans="2:7">
      <c r="B820" s="1" t="s">
        <v>1390</v>
      </c>
    </row>
    <row r="821" spans="2:7">
      <c r="B821" s="3" t="s">
        <v>1391</v>
      </c>
      <c r="C821" s="19">
        <v>2015</v>
      </c>
      <c r="D821" s="19">
        <v>2016</v>
      </c>
      <c r="E821" s="19">
        <v>2017</v>
      </c>
      <c r="F821" s="19">
        <v>2018</v>
      </c>
      <c r="G821" s="19">
        <v>2019</v>
      </c>
    </row>
    <row r="822" spans="2:7">
      <c r="B822" s="3" t="s">
        <v>1387</v>
      </c>
      <c r="C822" s="174">
        <v>1.1000000000000001</v>
      </c>
      <c r="D822" s="174">
        <v>1.3</v>
      </c>
      <c r="E822" s="174">
        <v>1.5</v>
      </c>
      <c r="F822" s="174">
        <v>1.8</v>
      </c>
      <c r="G822" s="174">
        <v>2</v>
      </c>
    </row>
    <row r="823" spans="2:7">
      <c r="B823" s="3" t="s">
        <v>601</v>
      </c>
      <c r="C823" s="19">
        <v>100</v>
      </c>
      <c r="D823" s="19">
        <v>98</v>
      </c>
      <c r="E823" s="19">
        <v>95</v>
      </c>
      <c r="F823" s="19">
        <v>99</v>
      </c>
      <c r="G823" s="19">
        <v>101</v>
      </c>
    </row>
    <row r="824" spans="2:7">
      <c r="B824" s="3" t="s">
        <v>1392</v>
      </c>
      <c r="C824" s="174">
        <v>0.8</v>
      </c>
      <c r="D824" s="174">
        <v>0.9</v>
      </c>
      <c r="E824" s="174">
        <v>1.1000000000000001</v>
      </c>
      <c r="F824" s="174">
        <v>1.5</v>
      </c>
      <c r="G824" s="174">
        <v>1.7</v>
      </c>
    </row>
    <row r="826" spans="2:7">
      <c r="B826" s="1" t="s">
        <v>1034</v>
      </c>
    </row>
    <row r="828" spans="2:7">
      <c r="B828" s="4" t="s">
        <v>1393</v>
      </c>
      <c r="C828" s="4" t="s">
        <v>4</v>
      </c>
      <c r="D828" s="4" t="s">
        <v>241</v>
      </c>
      <c r="E828" s="4" t="s">
        <v>242</v>
      </c>
    </row>
    <row r="829" spans="2:7">
      <c r="B829" s="3" t="s">
        <v>1394</v>
      </c>
      <c r="C829" s="4"/>
      <c r="D829" s="4">
        <v>500000</v>
      </c>
      <c r="E829" s="4">
        <v>1000000</v>
      </c>
    </row>
    <row r="830" spans="2:7">
      <c r="B830" s="176" t="s">
        <v>1383</v>
      </c>
      <c r="C830" s="177" t="s">
        <v>537</v>
      </c>
      <c r="D830" s="177" t="s">
        <v>1384</v>
      </c>
      <c r="E830" s="177" t="s">
        <v>1384</v>
      </c>
    </row>
    <row r="831" spans="2:7">
      <c r="B831" s="178" t="s">
        <v>1395</v>
      </c>
      <c r="C831" s="177"/>
      <c r="D831" s="179">
        <f>1/1.18</f>
        <v>0.84745762711864414</v>
      </c>
      <c r="E831" s="179">
        <f>1/1.18</f>
        <v>0.84745762711864414</v>
      </c>
      <c r="F831" s="24" t="s">
        <v>1397</v>
      </c>
    </row>
    <row r="832" spans="2:7">
      <c r="B832" s="3" t="s">
        <v>1382</v>
      </c>
      <c r="C832" s="4" t="s">
        <v>646</v>
      </c>
      <c r="D832" s="4" t="s">
        <v>646</v>
      </c>
      <c r="E832" s="4" t="s">
        <v>646</v>
      </c>
    </row>
    <row r="833" spans="2:8">
      <c r="B833" s="82" t="s">
        <v>1395</v>
      </c>
      <c r="C833" s="4"/>
      <c r="D833" s="175">
        <v>1</v>
      </c>
      <c r="E833" s="175">
        <v>1</v>
      </c>
      <c r="F833" s="24" t="s">
        <v>1405</v>
      </c>
    </row>
    <row r="834" spans="2:8">
      <c r="B834" s="176" t="s">
        <v>1399</v>
      </c>
      <c r="C834" s="180">
        <v>42005</v>
      </c>
      <c r="D834" s="180">
        <v>42736</v>
      </c>
      <c r="E834" s="180">
        <v>42005</v>
      </c>
    </row>
    <row r="835" spans="2:8">
      <c r="B835" s="178" t="s">
        <v>590</v>
      </c>
      <c r="C835" s="177">
        <f>C823</f>
        <v>100</v>
      </c>
      <c r="D835" s="177">
        <f>E823</f>
        <v>95</v>
      </c>
      <c r="E835" s="177"/>
    </row>
    <row r="836" spans="2:8">
      <c r="B836" s="178" t="s">
        <v>1395</v>
      </c>
      <c r="C836" s="177"/>
      <c r="D836" s="179">
        <f>C835/D835</f>
        <v>1.0526315789473684</v>
      </c>
      <c r="E836" s="179">
        <v>1</v>
      </c>
    </row>
    <row r="837" spans="2:8">
      <c r="B837" s="3" t="s">
        <v>1398</v>
      </c>
      <c r="C837" s="4" t="s">
        <v>1392</v>
      </c>
      <c r="D837" s="4" t="s">
        <v>601</v>
      </c>
      <c r="E837" s="4" t="s">
        <v>1387</v>
      </c>
      <c r="G837" s="3" t="s">
        <v>1386</v>
      </c>
      <c r="H837" s="4" t="s">
        <v>1396</v>
      </c>
    </row>
    <row r="838" spans="2:8">
      <c r="B838" s="82" t="s">
        <v>590</v>
      </c>
      <c r="C838" s="56">
        <f>H840</f>
        <v>0.76923076923076916</v>
      </c>
      <c r="D838" s="56">
        <f>H838</f>
        <v>0.7</v>
      </c>
      <c r="E838" s="56">
        <f>H839</f>
        <v>1</v>
      </c>
      <c r="G838" s="3" t="s">
        <v>601</v>
      </c>
      <c r="H838" s="56">
        <f>H839*(1-30%)</f>
        <v>0.7</v>
      </c>
    </row>
    <row r="839" spans="2:8">
      <c r="B839" s="82" t="s">
        <v>1395</v>
      </c>
      <c r="C839" s="4"/>
      <c r="D839" s="175">
        <f>C838/D838</f>
        <v>1.0989010989010988</v>
      </c>
      <c r="E839" s="175">
        <f>C838/E838</f>
        <v>0.76923076923076916</v>
      </c>
      <c r="G839" s="3" t="s">
        <v>1387</v>
      </c>
      <c r="H839" s="56">
        <v>1</v>
      </c>
    </row>
    <row r="840" spans="2:8">
      <c r="B840" s="176" t="s">
        <v>82</v>
      </c>
      <c r="C840" s="180"/>
      <c r="D840" s="180"/>
      <c r="E840" s="180"/>
      <c r="G840" s="3" t="s">
        <v>1392</v>
      </c>
      <c r="H840" s="56">
        <f>H839/1.3</f>
        <v>0.76923076923076916</v>
      </c>
    </row>
    <row r="841" spans="2:8">
      <c r="B841" s="178" t="s">
        <v>1400</v>
      </c>
      <c r="C841" s="181">
        <v>2015</v>
      </c>
      <c r="D841" s="181">
        <v>2017</v>
      </c>
      <c r="E841" s="181">
        <v>2015</v>
      </c>
    </row>
    <row r="842" spans="2:8">
      <c r="B842" s="178" t="s">
        <v>693</v>
      </c>
      <c r="C842" s="181"/>
      <c r="D842" s="181">
        <v>2004</v>
      </c>
      <c r="E842" s="181">
        <v>2005</v>
      </c>
    </row>
    <row r="843" spans="2:8">
      <c r="B843" s="178" t="s">
        <v>265</v>
      </c>
      <c r="C843" s="181">
        <v>25</v>
      </c>
      <c r="D843" s="181">
        <v>25</v>
      </c>
      <c r="E843" s="181">
        <v>25</v>
      </c>
    </row>
    <row r="844" spans="2:8">
      <c r="B844" s="178" t="s">
        <v>205</v>
      </c>
      <c r="C844" s="181"/>
      <c r="D844" s="181">
        <v>12</v>
      </c>
      <c r="E844" s="181"/>
    </row>
    <row r="845" spans="2:8">
      <c r="B845" s="178" t="s">
        <v>1030</v>
      </c>
      <c r="C845" s="181">
        <v>10</v>
      </c>
      <c r="D845" s="181">
        <f>D843-D844</f>
        <v>13</v>
      </c>
      <c r="E845" s="181">
        <f>E843-(E841-E842)</f>
        <v>15</v>
      </c>
    </row>
    <row r="846" spans="2:8">
      <c r="B846" s="178" t="s">
        <v>15</v>
      </c>
      <c r="C846" s="204">
        <f>(C843-C845)/C843</f>
        <v>0.6</v>
      </c>
      <c r="D846" s="204">
        <f>(D843-D845)/D843</f>
        <v>0.48</v>
      </c>
      <c r="E846" s="204">
        <f>(E843-E845)/E843</f>
        <v>0.4</v>
      </c>
    </row>
    <row r="847" spans="2:8">
      <c r="B847" s="178" t="s">
        <v>1395</v>
      </c>
      <c r="C847" s="182"/>
      <c r="D847" s="183">
        <f>(1-C846)/(1-D846)</f>
        <v>0.76923076923076927</v>
      </c>
      <c r="E847" s="183">
        <f>(1-C846)/(1-E846)</f>
        <v>0.66666666666666674</v>
      </c>
    </row>
    <row r="848" spans="2:8">
      <c r="B848" s="3" t="s">
        <v>582</v>
      </c>
      <c r="C848" s="5">
        <v>600</v>
      </c>
      <c r="D848" s="5">
        <v>500</v>
      </c>
      <c r="E848" s="5">
        <v>700</v>
      </c>
    </row>
    <row r="849" spans="2:9">
      <c r="B849" s="82" t="s">
        <v>1401</v>
      </c>
      <c r="C849" s="4"/>
      <c r="D849" s="55">
        <v>0.7</v>
      </c>
      <c r="E849" s="55">
        <v>0.7</v>
      </c>
    </row>
    <row r="850" spans="2:9">
      <c r="B850" s="82" t="s">
        <v>1395</v>
      </c>
      <c r="C850" s="4"/>
      <c r="D850" s="175">
        <f>(C848/D848)^D849</f>
        <v>1.1361269771988887</v>
      </c>
      <c r="E850" s="175">
        <f>(C848/E848)^E849</f>
        <v>0.8977124479000923</v>
      </c>
    </row>
    <row r="851" spans="2:9">
      <c r="B851" s="3"/>
      <c r="C851" s="4"/>
      <c r="D851" s="4"/>
      <c r="E851" s="4"/>
    </row>
    <row r="852" spans="2:9">
      <c r="B852" s="3" t="s">
        <v>656</v>
      </c>
      <c r="C852" s="4"/>
      <c r="D852" s="4">
        <f>D829*D831*D833*D836*D839*D847*D850</f>
        <v>428357.6421241482</v>
      </c>
      <c r="E852" s="4">
        <f>E829*E831*E833*E836*E839*E847*E850</f>
        <v>390140.13381142652</v>
      </c>
    </row>
    <row r="853" spans="2:9">
      <c r="B853" s="3" t="s">
        <v>1402</v>
      </c>
      <c r="C853" s="4" t="s">
        <v>1403</v>
      </c>
      <c r="D853" s="4" t="s">
        <v>1404</v>
      </c>
      <c r="E853" s="4" t="s">
        <v>1404</v>
      </c>
    </row>
    <row r="854" spans="2:9">
      <c r="B854" s="82" t="s">
        <v>12</v>
      </c>
      <c r="C854" s="4"/>
      <c r="D854" s="4">
        <v>100000</v>
      </c>
      <c r="E854" s="4">
        <v>100000</v>
      </c>
    </row>
    <row r="855" spans="2:9">
      <c r="B855" s="3" t="s">
        <v>23</v>
      </c>
      <c r="C855" s="172">
        <f>AVERAGE(D855:E855)</f>
        <v>509248.88796778733</v>
      </c>
      <c r="D855" s="4">
        <f>D852+D854</f>
        <v>528357.6421241482</v>
      </c>
      <c r="E855" s="4">
        <f>E852+E854</f>
        <v>490140.13381142652</v>
      </c>
    </row>
    <row r="856" spans="2:9">
      <c r="B856" s="82" t="s">
        <v>507</v>
      </c>
      <c r="C856" s="4">
        <f>(D855+E855)/2</f>
        <v>509248.88796778733</v>
      </c>
      <c r="D856" s="4"/>
      <c r="E856" s="4"/>
    </row>
    <row r="859" spans="2:9" ht="19.5" thickBot="1"/>
    <row r="860" spans="2:9" ht="37.9" customHeight="1" thickBot="1">
      <c r="B860" s="226" t="s">
        <v>1406</v>
      </c>
      <c r="C860" s="227"/>
      <c r="D860" s="227"/>
      <c r="E860" s="227"/>
      <c r="F860" s="227"/>
      <c r="G860" s="227"/>
      <c r="H860" s="227"/>
      <c r="I860" s="228"/>
    </row>
    <row r="862" spans="2:9">
      <c r="B862" s="3"/>
      <c r="C862" s="4" t="s">
        <v>4</v>
      </c>
      <c r="D862" s="4" t="s">
        <v>241</v>
      </c>
      <c r="E862" s="4" t="s">
        <v>242</v>
      </c>
    </row>
    <row r="863" spans="2:9">
      <c r="B863" s="3" t="s">
        <v>243</v>
      </c>
      <c r="C863" s="186">
        <f>E863*(C865/E865)^0.28</f>
        <v>728.14673952007877</v>
      </c>
      <c r="D863" s="4">
        <f>E863*(D865/E865)^0.28</f>
        <v>691.90769449171296</v>
      </c>
      <c r="E863" s="184">
        <v>650</v>
      </c>
      <c r="F863" s="24" t="s">
        <v>1408</v>
      </c>
    </row>
    <row r="864" spans="2:9">
      <c r="B864" s="3" t="s">
        <v>244</v>
      </c>
      <c r="C864" s="186">
        <f>D864*(C865/D865)^0.28</f>
        <v>657.73471782875208</v>
      </c>
      <c r="D864" s="184">
        <v>625</v>
      </c>
      <c r="E864" s="4">
        <f>D864*(E865/D865)^0.28</f>
        <v>587.14479291697717</v>
      </c>
      <c r="F864" s="173"/>
    </row>
    <row r="865" spans="2:9">
      <c r="B865" s="3" t="s">
        <v>1407</v>
      </c>
      <c r="C865" s="184">
        <v>12</v>
      </c>
      <c r="D865" s="184">
        <v>10</v>
      </c>
      <c r="E865" s="184">
        <v>8</v>
      </c>
    </row>
    <row r="866" spans="2:9">
      <c r="B866" s="3" t="s">
        <v>31</v>
      </c>
      <c r="C866" s="185">
        <f>C864/C863</f>
        <v>0.90329968141073425</v>
      </c>
      <c r="D866" s="56">
        <f>D864/D863</f>
        <v>0.90329968141073436</v>
      </c>
      <c r="E866" s="56">
        <f>E864/E863</f>
        <v>0.90329968141073413</v>
      </c>
    </row>
    <row r="868" spans="2:9" ht="19.5" thickBot="1"/>
    <row r="869" spans="2:9" ht="42.75" customHeight="1" thickBot="1">
      <c r="B869" s="226" t="s">
        <v>1631</v>
      </c>
      <c r="C869" s="227"/>
      <c r="D869" s="227"/>
      <c r="E869" s="227"/>
      <c r="F869" s="227"/>
      <c r="G869" s="227"/>
      <c r="H869" s="227"/>
      <c r="I869" s="228"/>
    </row>
    <row r="871" spans="2:9">
      <c r="B871" s="3" t="s">
        <v>436</v>
      </c>
      <c r="C871" s="3">
        <v>10</v>
      </c>
      <c r="D871" s="3">
        <v>15</v>
      </c>
    </row>
    <row r="872" spans="2:9">
      <c r="B872" s="3" t="s">
        <v>1576</v>
      </c>
      <c r="C872" s="3">
        <v>50</v>
      </c>
      <c r="D872" s="3">
        <f>(6-0.1*D871)*D871</f>
        <v>67.5</v>
      </c>
    </row>
    <row r="873" spans="2:9">
      <c r="B873" s="3" t="s">
        <v>432</v>
      </c>
      <c r="C873" s="3"/>
      <c r="D873" s="50">
        <f>1-C872/D872</f>
        <v>0.2592592592592593</v>
      </c>
    </row>
    <row r="875" spans="2:9" ht="19.5" thickBot="1"/>
    <row r="876" spans="2:9" ht="163.5" customHeight="1" thickBot="1">
      <c r="B876" s="226" t="s">
        <v>1581</v>
      </c>
      <c r="C876" s="227"/>
      <c r="D876" s="227"/>
      <c r="E876" s="227"/>
      <c r="F876" s="227"/>
      <c r="G876" s="227"/>
      <c r="H876" s="227"/>
      <c r="I876" s="228"/>
    </row>
    <row r="878" spans="2:9">
      <c r="B878" s="3" t="s">
        <v>590</v>
      </c>
      <c r="C878" s="4" t="s">
        <v>1131</v>
      </c>
      <c r="D878" s="4" t="s">
        <v>1132</v>
      </c>
    </row>
    <row r="879" spans="2:9">
      <c r="B879" s="3" t="s">
        <v>1382</v>
      </c>
      <c r="C879" s="4" t="s">
        <v>646</v>
      </c>
      <c r="D879" s="4" t="s">
        <v>646</v>
      </c>
    </row>
    <row r="880" spans="2:9">
      <c r="B880" s="3" t="s">
        <v>1383</v>
      </c>
      <c r="C880" s="4" t="s">
        <v>735</v>
      </c>
      <c r="D880" s="4" t="s">
        <v>1384</v>
      </c>
    </row>
    <row r="881" spans="2:7">
      <c r="B881" s="3" t="s">
        <v>1385</v>
      </c>
      <c r="C881" s="3">
        <v>500000</v>
      </c>
      <c r="D881" s="3">
        <v>1000000</v>
      </c>
    </row>
    <row r="882" spans="2:7">
      <c r="B882" s="3" t="s">
        <v>1386</v>
      </c>
      <c r="C882" s="4" t="s">
        <v>1392</v>
      </c>
      <c r="D882" s="4" t="s">
        <v>1387</v>
      </c>
    </row>
    <row r="883" spans="2:7">
      <c r="B883" s="3" t="s">
        <v>582</v>
      </c>
      <c r="C883" s="19">
        <v>500</v>
      </c>
      <c r="D883" s="19">
        <v>700</v>
      </c>
    </row>
    <row r="884" spans="2:7">
      <c r="B884" s="3" t="s">
        <v>1388</v>
      </c>
      <c r="C884" s="19">
        <v>2004</v>
      </c>
      <c r="D884" s="19">
        <v>2005</v>
      </c>
    </row>
    <row r="885" spans="2:7">
      <c r="B885" s="3" t="s">
        <v>20</v>
      </c>
      <c r="C885" s="19">
        <v>12</v>
      </c>
      <c r="D885" s="3"/>
    </row>
    <row r="886" spans="2:7">
      <c r="B886" s="3" t="s">
        <v>1389</v>
      </c>
      <c r="C886" s="86">
        <v>42736</v>
      </c>
      <c r="D886" s="86">
        <v>42005</v>
      </c>
    </row>
    <row r="888" spans="2:7">
      <c r="B888" s="1" t="s">
        <v>1390</v>
      </c>
    </row>
    <row r="889" spans="2:7">
      <c r="B889" s="3" t="s">
        <v>1391</v>
      </c>
      <c r="C889" s="19">
        <v>2015</v>
      </c>
      <c r="D889" s="19">
        <v>2016</v>
      </c>
      <c r="E889" s="19">
        <v>2017</v>
      </c>
      <c r="F889" s="19">
        <v>2018</v>
      </c>
      <c r="G889" s="19">
        <v>2019</v>
      </c>
    </row>
    <row r="890" spans="2:7">
      <c r="B890" s="3" t="s">
        <v>1387</v>
      </c>
      <c r="C890" s="174">
        <v>1.1000000000000001</v>
      </c>
      <c r="D890" s="174">
        <v>1.3</v>
      </c>
      <c r="E890" s="174">
        <v>1.5</v>
      </c>
      <c r="F890" s="174">
        <v>1.8</v>
      </c>
      <c r="G890" s="174">
        <v>2</v>
      </c>
    </row>
    <row r="891" spans="2:7">
      <c r="B891" s="3" t="s">
        <v>601</v>
      </c>
      <c r="C891" s="19">
        <v>100</v>
      </c>
      <c r="D891" s="19">
        <v>98</v>
      </c>
      <c r="E891" s="19">
        <v>95</v>
      </c>
      <c r="F891" s="19">
        <v>99</v>
      </c>
      <c r="G891" s="19">
        <v>101</v>
      </c>
    </row>
    <row r="892" spans="2:7">
      <c r="B892" s="3" t="s">
        <v>1392</v>
      </c>
      <c r="C892" s="174">
        <v>0.8</v>
      </c>
      <c r="D892" s="174">
        <v>0.9</v>
      </c>
      <c r="E892" s="174">
        <v>1.1000000000000001</v>
      </c>
      <c r="F892" s="174">
        <v>1.5</v>
      </c>
      <c r="G892" s="174">
        <v>1.7</v>
      </c>
    </row>
    <row r="894" spans="2:7">
      <c r="B894" s="1" t="s">
        <v>1034</v>
      </c>
    </row>
    <row r="896" spans="2:7">
      <c r="B896" s="4" t="s">
        <v>1393</v>
      </c>
      <c r="C896" s="4" t="s">
        <v>4</v>
      </c>
      <c r="D896" s="4" t="s">
        <v>241</v>
      </c>
      <c r="E896" s="4" t="s">
        <v>242</v>
      </c>
    </row>
    <row r="897" spans="2:8">
      <c r="B897" s="3" t="s">
        <v>1394</v>
      </c>
      <c r="C897" s="4"/>
      <c r="D897" s="4">
        <v>500000</v>
      </c>
      <c r="E897" s="4">
        <v>1000000</v>
      </c>
    </row>
    <row r="898" spans="2:8">
      <c r="B898" s="176" t="s">
        <v>1383</v>
      </c>
      <c r="C898" s="218" t="s">
        <v>537</v>
      </c>
      <c r="D898" s="177" t="s">
        <v>735</v>
      </c>
      <c r="E898" s="177" t="s">
        <v>1384</v>
      </c>
      <c r="F898" s="35" t="s">
        <v>1577</v>
      </c>
    </row>
    <row r="899" spans="2:8">
      <c r="B899" s="178" t="s">
        <v>1395</v>
      </c>
      <c r="C899" s="177"/>
      <c r="D899" s="179">
        <v>1</v>
      </c>
      <c r="E899" s="179">
        <f>1/1.18</f>
        <v>0.84745762711864414</v>
      </c>
      <c r="F899" s="35" t="s">
        <v>1397</v>
      </c>
    </row>
    <row r="900" spans="2:8">
      <c r="B900" s="3" t="s">
        <v>1382</v>
      </c>
      <c r="C900" s="4" t="s">
        <v>646</v>
      </c>
      <c r="D900" s="4" t="s">
        <v>646</v>
      </c>
      <c r="E900" s="4" t="s">
        <v>646</v>
      </c>
    </row>
    <row r="901" spans="2:8">
      <c r="B901" s="82" t="s">
        <v>1395</v>
      </c>
      <c r="C901" s="4"/>
      <c r="D901" s="175">
        <v>1</v>
      </c>
      <c r="E901" s="175">
        <v>1</v>
      </c>
      <c r="F901" s="35" t="s">
        <v>1405</v>
      </c>
    </row>
    <row r="902" spans="2:8">
      <c r="B902" s="176" t="s">
        <v>1399</v>
      </c>
      <c r="C902" s="180">
        <v>42005</v>
      </c>
      <c r="D902" s="180">
        <v>42736</v>
      </c>
      <c r="E902" s="180">
        <v>42005</v>
      </c>
    </row>
    <row r="903" spans="2:8">
      <c r="B903" s="178" t="s">
        <v>1395</v>
      </c>
      <c r="C903" s="177"/>
      <c r="D903" s="179">
        <f>C892/E892</f>
        <v>0.72727272727272729</v>
      </c>
      <c r="E903" s="179">
        <v>1</v>
      </c>
    </row>
    <row r="904" spans="2:8">
      <c r="B904" s="3" t="s">
        <v>1398</v>
      </c>
      <c r="C904" s="4" t="s">
        <v>601</v>
      </c>
      <c r="D904" s="4" t="s">
        <v>1392</v>
      </c>
      <c r="E904" s="4" t="s">
        <v>1387</v>
      </c>
      <c r="G904" s="3" t="s">
        <v>1386</v>
      </c>
      <c r="H904" s="4" t="s">
        <v>1396</v>
      </c>
    </row>
    <row r="905" spans="2:8">
      <c r="B905" s="82" t="s">
        <v>590</v>
      </c>
      <c r="C905" s="56">
        <f>H905</f>
        <v>1.5</v>
      </c>
      <c r="D905" s="56">
        <f>H907</f>
        <v>0.76923076923076916</v>
      </c>
      <c r="E905" s="56">
        <f>H906</f>
        <v>1</v>
      </c>
      <c r="G905" s="3" t="s">
        <v>601</v>
      </c>
      <c r="H905" s="56">
        <f>H906*(1+50%)</f>
        <v>1.5</v>
      </c>
    </row>
    <row r="906" spans="2:8">
      <c r="B906" s="82" t="s">
        <v>1395</v>
      </c>
      <c r="C906" s="4"/>
      <c r="D906" s="175">
        <f>C905/D905</f>
        <v>1.9500000000000002</v>
      </c>
      <c r="E906" s="175">
        <f>C905/E905</f>
        <v>1.5</v>
      </c>
      <c r="G906" s="3" t="s">
        <v>1387</v>
      </c>
      <c r="H906" s="56">
        <v>1</v>
      </c>
    </row>
    <row r="907" spans="2:8">
      <c r="B907" s="176" t="s">
        <v>82</v>
      </c>
      <c r="C907" s="180"/>
      <c r="D907" s="180"/>
      <c r="E907" s="180"/>
      <c r="G907" s="3" t="s">
        <v>1392</v>
      </c>
      <c r="H907" s="56">
        <f>H906/1.3</f>
        <v>0.76923076923076916</v>
      </c>
    </row>
    <row r="908" spans="2:8">
      <c r="B908" s="178" t="s">
        <v>1400</v>
      </c>
      <c r="C908" s="181">
        <v>2015</v>
      </c>
      <c r="D908" s="181">
        <v>2017</v>
      </c>
      <c r="E908" s="181">
        <v>2015</v>
      </c>
    </row>
    <row r="909" spans="2:8">
      <c r="B909" s="178" t="s">
        <v>693</v>
      </c>
      <c r="C909" s="181"/>
      <c r="D909" s="181">
        <v>2004</v>
      </c>
      <c r="E909" s="181">
        <v>2005</v>
      </c>
    </row>
    <row r="910" spans="2:8">
      <c r="B910" s="178" t="s">
        <v>265</v>
      </c>
      <c r="C910" s="181">
        <v>25</v>
      </c>
      <c r="D910" s="181">
        <v>25</v>
      </c>
      <c r="E910" s="181">
        <v>25</v>
      </c>
    </row>
    <row r="911" spans="2:8">
      <c r="B911" s="178" t="s">
        <v>205</v>
      </c>
      <c r="C911" s="181">
        <v>10</v>
      </c>
      <c r="D911" s="181">
        <v>12</v>
      </c>
      <c r="E911" s="181">
        <f>E910-E912</f>
        <v>10</v>
      </c>
    </row>
    <row r="912" spans="2:8">
      <c r="B912" s="178" t="s">
        <v>1030</v>
      </c>
      <c r="C912" s="181">
        <f>C910-C911</f>
        <v>15</v>
      </c>
      <c r="D912" s="181">
        <f>D910-D911</f>
        <v>13</v>
      </c>
      <c r="E912" s="181">
        <f>E910-(E908-E909)</f>
        <v>15</v>
      </c>
    </row>
    <row r="913" spans="2:9">
      <c r="B913" s="178" t="s">
        <v>15</v>
      </c>
      <c r="C913" s="204">
        <f>C911/C910</f>
        <v>0.4</v>
      </c>
      <c r="D913" s="204">
        <f>D911/D910</f>
        <v>0.48</v>
      </c>
      <c r="E913" s="204">
        <f>E911/E910</f>
        <v>0.4</v>
      </c>
    </row>
    <row r="914" spans="2:9">
      <c r="B914" s="178" t="s">
        <v>1395</v>
      </c>
      <c r="C914" s="182"/>
      <c r="D914" s="183">
        <f>(1-C913)/(1-D913)</f>
        <v>1.1538461538461537</v>
      </c>
      <c r="E914" s="183">
        <f>(1-C913)/(1-E913)</f>
        <v>1</v>
      </c>
      <c r="F914" s="35" t="s">
        <v>1580</v>
      </c>
    </row>
    <row r="915" spans="2:9">
      <c r="B915" s="3" t="s">
        <v>582</v>
      </c>
      <c r="C915" s="5">
        <v>600</v>
      </c>
      <c r="D915" s="5">
        <v>500</v>
      </c>
      <c r="E915" s="5">
        <v>700</v>
      </c>
    </row>
    <row r="916" spans="2:9">
      <c r="B916" s="82" t="s">
        <v>1401</v>
      </c>
      <c r="C916" s="4"/>
      <c r="D916" s="55">
        <v>0.7</v>
      </c>
      <c r="E916" s="55">
        <v>0.7</v>
      </c>
    </row>
    <row r="917" spans="2:9">
      <c r="B917" s="82" t="s">
        <v>1395</v>
      </c>
      <c r="C917" s="4"/>
      <c r="D917" s="175">
        <f>(C915/D915)^D916</f>
        <v>1.1361269771988887</v>
      </c>
      <c r="E917" s="175">
        <f>(C915/E915)^E916</f>
        <v>0.8977124479000923</v>
      </c>
    </row>
    <row r="918" spans="2:9">
      <c r="B918" s="3"/>
      <c r="C918" s="4"/>
      <c r="D918" s="4"/>
      <c r="E918" s="4"/>
    </row>
    <row r="919" spans="2:9">
      <c r="B919" s="3" t="s">
        <v>656</v>
      </c>
      <c r="C919" s="4"/>
      <c r="D919" s="4">
        <f>D897*D899*D901*D903*D906*D914*D917</f>
        <v>929558.43588999985</v>
      </c>
      <c r="E919" s="4">
        <f>E897*E899*E901*E903*E906*E914*E917</f>
        <v>1141159.8913984224</v>
      </c>
    </row>
    <row r="920" spans="2:9">
      <c r="B920" s="3" t="s">
        <v>1402</v>
      </c>
      <c r="C920" s="4" t="s">
        <v>1403</v>
      </c>
      <c r="D920" s="4" t="s">
        <v>1404</v>
      </c>
      <c r="E920" s="4" t="s">
        <v>1404</v>
      </c>
    </row>
    <row r="921" spans="2:9">
      <c r="B921" s="82" t="s">
        <v>12</v>
      </c>
      <c r="C921" s="4"/>
      <c r="D921" s="4">
        <v>200000</v>
      </c>
      <c r="E921" s="4">
        <v>200000</v>
      </c>
    </row>
    <row r="922" spans="2:9">
      <c r="B922" s="3" t="s">
        <v>1578</v>
      </c>
      <c r="C922" s="4">
        <f>AVERAGE(D922:E922)</f>
        <v>1235359.1636442111</v>
      </c>
      <c r="D922" s="4">
        <f>D919+D921</f>
        <v>1129558.4358899998</v>
      </c>
      <c r="E922" s="4">
        <f>E919+E921</f>
        <v>1341159.8913984224</v>
      </c>
    </row>
    <row r="923" spans="2:9">
      <c r="B923" s="82" t="s">
        <v>507</v>
      </c>
      <c r="C923" s="4">
        <f>(D922+E922)/2</f>
        <v>1235359.1636442111</v>
      </c>
      <c r="D923" s="4"/>
      <c r="E923" s="4"/>
    </row>
    <row r="924" spans="2:9">
      <c r="B924" s="3" t="s">
        <v>1579</v>
      </c>
      <c r="C924" s="172">
        <f>C923*1.18</f>
        <v>1457723.8131001689</v>
      </c>
    </row>
    <row r="926" spans="2:9" ht="19.5" thickBot="1"/>
    <row r="927" spans="2:9" ht="162" customHeight="1" thickBot="1">
      <c r="B927" s="226" t="s">
        <v>1630</v>
      </c>
      <c r="C927" s="227"/>
      <c r="D927" s="227"/>
      <c r="E927" s="227"/>
      <c r="F927" s="227"/>
      <c r="G927" s="227"/>
      <c r="H927" s="227"/>
      <c r="I927" s="228"/>
    </row>
    <row r="929" spans="2:7">
      <c r="B929" s="3" t="s">
        <v>590</v>
      </c>
      <c r="C929" s="4" t="s">
        <v>1131</v>
      </c>
      <c r="D929" s="4" t="s">
        <v>1132</v>
      </c>
    </row>
    <row r="930" spans="2:7">
      <c r="B930" s="3" t="s">
        <v>1382</v>
      </c>
      <c r="C930" s="4" t="s">
        <v>646</v>
      </c>
      <c r="D930" s="4" t="s">
        <v>645</v>
      </c>
    </row>
    <row r="931" spans="2:7">
      <c r="B931" s="3" t="s">
        <v>1383</v>
      </c>
      <c r="C931" s="4" t="s">
        <v>735</v>
      </c>
      <c r="D931" s="4" t="s">
        <v>1384</v>
      </c>
    </row>
    <row r="932" spans="2:7">
      <c r="B932" s="3" t="s">
        <v>1385</v>
      </c>
      <c r="C932" s="3">
        <v>500000</v>
      </c>
      <c r="D932" s="3">
        <v>1000000</v>
      </c>
    </row>
    <row r="933" spans="2:7">
      <c r="B933" s="3" t="s">
        <v>1386</v>
      </c>
      <c r="C933" s="4" t="s">
        <v>1392</v>
      </c>
      <c r="D933" s="4" t="s">
        <v>1387</v>
      </c>
    </row>
    <row r="934" spans="2:7">
      <c r="B934" s="3" t="s">
        <v>582</v>
      </c>
      <c r="C934" s="19">
        <v>500</v>
      </c>
      <c r="D934" s="19">
        <v>700</v>
      </c>
    </row>
    <row r="935" spans="2:7">
      <c r="B935" s="3" t="s">
        <v>1388</v>
      </c>
      <c r="C935" s="19">
        <v>2004</v>
      </c>
      <c r="D935" s="19">
        <v>2005</v>
      </c>
    </row>
    <row r="936" spans="2:7">
      <c r="B936" s="3" t="s">
        <v>20</v>
      </c>
      <c r="C936" s="19">
        <v>12</v>
      </c>
      <c r="D936" s="3"/>
    </row>
    <row r="937" spans="2:7">
      <c r="B937" s="3" t="s">
        <v>1389</v>
      </c>
      <c r="C937" s="86">
        <v>43101</v>
      </c>
      <c r="D937" s="86">
        <v>43466</v>
      </c>
    </row>
    <row r="939" spans="2:7">
      <c r="B939" s="1" t="s">
        <v>1390</v>
      </c>
    </row>
    <row r="940" spans="2:7">
      <c r="B940" s="3" t="s">
        <v>1391</v>
      </c>
      <c r="C940" s="19">
        <v>2015</v>
      </c>
      <c r="D940" s="19">
        <v>2016</v>
      </c>
      <c r="E940" s="19">
        <v>2017</v>
      </c>
      <c r="F940" s="19">
        <v>2018</v>
      </c>
      <c r="G940" s="19">
        <v>2019</v>
      </c>
    </row>
    <row r="941" spans="2:7">
      <c r="B941" s="3" t="s">
        <v>1387</v>
      </c>
      <c r="C941" s="174">
        <v>1.1000000000000001</v>
      </c>
      <c r="D941" s="174">
        <v>1.3</v>
      </c>
      <c r="E941" s="174">
        <v>1.5</v>
      </c>
      <c r="F941" s="174">
        <v>1.8</v>
      </c>
      <c r="G941" s="174">
        <v>2</v>
      </c>
    </row>
    <row r="942" spans="2:7">
      <c r="B942" s="3" t="s">
        <v>601</v>
      </c>
      <c r="C942" s="19">
        <v>100</v>
      </c>
      <c r="D942" s="19">
        <v>98</v>
      </c>
      <c r="E942" s="19">
        <v>95</v>
      </c>
      <c r="F942" s="19">
        <v>99</v>
      </c>
      <c r="G942" s="19">
        <v>101</v>
      </c>
    </row>
    <row r="943" spans="2:7">
      <c r="B943" s="3" t="s">
        <v>1392</v>
      </c>
      <c r="C943" s="174">
        <v>0.8</v>
      </c>
      <c r="D943" s="174">
        <v>0.9</v>
      </c>
      <c r="E943" s="174">
        <v>1.1000000000000001</v>
      </c>
      <c r="F943" s="174">
        <v>1.5</v>
      </c>
      <c r="G943" s="174">
        <v>1.7</v>
      </c>
    </row>
    <row r="945" spans="2:8">
      <c r="B945" s="1" t="s">
        <v>1034</v>
      </c>
    </row>
    <row r="947" spans="2:8">
      <c r="B947" s="4" t="s">
        <v>1393</v>
      </c>
      <c r="C947" s="4" t="s">
        <v>4</v>
      </c>
      <c r="D947" s="4" t="s">
        <v>241</v>
      </c>
      <c r="E947" s="4" t="s">
        <v>242</v>
      </c>
    </row>
    <row r="948" spans="2:8">
      <c r="B948" s="3" t="s">
        <v>1394</v>
      </c>
      <c r="C948" s="4"/>
      <c r="D948" s="4">
        <v>500000</v>
      </c>
      <c r="E948" s="4">
        <v>1000000</v>
      </c>
    </row>
    <row r="949" spans="2:8">
      <c r="B949" s="176" t="s">
        <v>1383</v>
      </c>
      <c r="C949" s="218" t="s">
        <v>537</v>
      </c>
      <c r="D949" s="177" t="s">
        <v>735</v>
      </c>
      <c r="E949" s="177" t="s">
        <v>1384</v>
      </c>
      <c r="F949" s="35" t="s">
        <v>1577</v>
      </c>
    </row>
    <row r="950" spans="2:8">
      <c r="B950" s="178" t="s">
        <v>1395</v>
      </c>
      <c r="C950" s="177"/>
      <c r="D950" s="179">
        <v>1</v>
      </c>
      <c r="E950" s="179">
        <f>1/1.2</f>
        <v>0.83333333333333337</v>
      </c>
      <c r="F950" s="35" t="s">
        <v>1397</v>
      </c>
    </row>
    <row r="951" spans="2:8">
      <c r="B951" s="3" t="s">
        <v>1382</v>
      </c>
      <c r="C951" s="4" t="s">
        <v>646</v>
      </c>
      <c r="D951" s="4" t="s">
        <v>646</v>
      </c>
      <c r="E951" s="4" t="s">
        <v>645</v>
      </c>
    </row>
    <row r="952" spans="2:8">
      <c r="B952" s="82" t="s">
        <v>1395</v>
      </c>
      <c r="C952" s="4"/>
      <c r="D952" s="175">
        <v>1</v>
      </c>
      <c r="E952" s="175">
        <f>1-10%</f>
        <v>0.9</v>
      </c>
      <c r="F952" s="35" t="s">
        <v>1405</v>
      </c>
    </row>
    <row r="953" spans="2:8">
      <c r="B953" s="176" t="s">
        <v>1399</v>
      </c>
      <c r="C953" s="180">
        <v>42736</v>
      </c>
      <c r="D953" s="180">
        <v>43101</v>
      </c>
      <c r="E953" s="180">
        <v>43466</v>
      </c>
    </row>
    <row r="954" spans="2:8">
      <c r="B954" s="178" t="s">
        <v>1395</v>
      </c>
      <c r="C954" s="177"/>
      <c r="D954" s="179">
        <f>E943/F943</f>
        <v>0.73333333333333339</v>
      </c>
      <c r="E954" s="179">
        <f>E941/G941</f>
        <v>0.75</v>
      </c>
    </row>
    <row r="955" spans="2:8">
      <c r="B955" s="3" t="s">
        <v>1398</v>
      </c>
      <c r="C955" s="4" t="s">
        <v>601</v>
      </c>
      <c r="D955" s="4" t="s">
        <v>1392</v>
      </c>
      <c r="E955" s="4" t="s">
        <v>1387</v>
      </c>
      <c r="G955" s="3" t="s">
        <v>1386</v>
      </c>
      <c r="H955" s="4" t="s">
        <v>1396</v>
      </c>
    </row>
    <row r="956" spans="2:8">
      <c r="B956" s="82" t="s">
        <v>590</v>
      </c>
      <c r="C956" s="56">
        <f>H956</f>
        <v>1.5</v>
      </c>
      <c r="D956" s="56">
        <f>H958</f>
        <v>0.76923076923076916</v>
      </c>
      <c r="E956" s="56">
        <f>H957</f>
        <v>1</v>
      </c>
      <c r="G956" s="3" t="s">
        <v>601</v>
      </c>
      <c r="H956" s="56">
        <f>H957*(1+50%)</f>
        <v>1.5</v>
      </c>
    </row>
    <row r="957" spans="2:8">
      <c r="B957" s="82" t="s">
        <v>1395</v>
      </c>
      <c r="C957" s="4"/>
      <c r="D957" s="175">
        <f>C956/D956</f>
        <v>1.9500000000000002</v>
      </c>
      <c r="E957" s="175">
        <f>C956/E956</f>
        <v>1.5</v>
      </c>
      <c r="G957" s="3" t="s">
        <v>1387</v>
      </c>
      <c r="H957" s="56">
        <v>1</v>
      </c>
    </row>
    <row r="958" spans="2:8">
      <c r="B958" s="176" t="s">
        <v>82</v>
      </c>
      <c r="C958" s="180"/>
      <c r="D958" s="180"/>
      <c r="E958" s="180"/>
      <c r="G958" s="3" t="s">
        <v>1392</v>
      </c>
      <c r="H958" s="56">
        <f>H957/1.3</f>
        <v>0.76923076923076916</v>
      </c>
    </row>
    <row r="959" spans="2:8">
      <c r="B959" s="178" t="s">
        <v>1400</v>
      </c>
      <c r="C959" s="181">
        <v>2017</v>
      </c>
      <c r="D959" s="181">
        <v>2018</v>
      </c>
      <c r="E959" s="181">
        <v>2019</v>
      </c>
    </row>
    <row r="960" spans="2:8">
      <c r="B960" s="178" t="s">
        <v>693</v>
      </c>
      <c r="C960" s="181"/>
      <c r="D960" s="181">
        <v>2004</v>
      </c>
      <c r="E960" s="181">
        <v>2005</v>
      </c>
    </row>
    <row r="961" spans="2:9">
      <c r="B961" s="178" t="s">
        <v>265</v>
      </c>
      <c r="C961" s="181">
        <v>25</v>
      </c>
      <c r="D961" s="181">
        <v>25</v>
      </c>
      <c r="E961" s="181">
        <v>25</v>
      </c>
    </row>
    <row r="962" spans="2:9">
      <c r="B962" s="178" t="s">
        <v>205</v>
      </c>
      <c r="C962" s="181">
        <v>10</v>
      </c>
      <c r="D962" s="181">
        <v>12</v>
      </c>
      <c r="E962" s="181">
        <f>E959-E960</f>
        <v>14</v>
      </c>
    </row>
    <row r="963" spans="2:9">
      <c r="B963" s="178" t="s">
        <v>15</v>
      </c>
      <c r="C963" s="204">
        <f>C962/C961</f>
        <v>0.4</v>
      </c>
      <c r="D963" s="204">
        <f>D962/D961</f>
        <v>0.48</v>
      </c>
      <c r="E963" s="204">
        <f>E962/E961</f>
        <v>0.56000000000000005</v>
      </c>
    </row>
    <row r="964" spans="2:9">
      <c r="B964" s="178" t="s">
        <v>1395</v>
      </c>
      <c r="C964" s="182"/>
      <c r="D964" s="183">
        <f>(1-C963)/(1-D963)</f>
        <v>1.1538461538461537</v>
      </c>
      <c r="E964" s="183">
        <f>(1-C963)/(1-E963)</f>
        <v>1.3636363636363638</v>
      </c>
      <c r="F964" s="35" t="s">
        <v>1580</v>
      </c>
    </row>
    <row r="965" spans="2:9">
      <c r="B965" s="3" t="s">
        <v>582</v>
      </c>
      <c r="C965" s="5">
        <v>600</v>
      </c>
      <c r="D965" s="5">
        <v>500</v>
      </c>
      <c r="E965" s="5">
        <v>700</v>
      </c>
    </row>
    <row r="966" spans="2:9">
      <c r="B966" s="82" t="s">
        <v>1401</v>
      </c>
      <c r="C966" s="4"/>
      <c r="D966" s="55">
        <v>0.7</v>
      </c>
      <c r="E966" s="55">
        <v>0.7</v>
      </c>
    </row>
    <row r="967" spans="2:9">
      <c r="B967" s="82" t="s">
        <v>1395</v>
      </c>
      <c r="C967" s="4"/>
      <c r="D967" s="175">
        <f>(C965/D965)^D966</f>
        <v>1.1361269771988887</v>
      </c>
      <c r="E967" s="175">
        <f>(C965/E965)^E966</f>
        <v>0.8977124479000923</v>
      </c>
    </row>
    <row r="968" spans="2:9">
      <c r="B968" s="3" t="s">
        <v>656</v>
      </c>
      <c r="C968" s="4"/>
      <c r="D968" s="4">
        <f>D948*D950*D952*D954*D957*D964*D967</f>
        <v>937304.75618908333</v>
      </c>
      <c r="E968" s="4">
        <f>E948*E950*E952*E954*E957*E964*E967</f>
        <v>1032879.3789759586</v>
      </c>
    </row>
    <row r="969" spans="2:9">
      <c r="B969" s="3" t="s">
        <v>1402</v>
      </c>
      <c r="C969" s="4" t="s">
        <v>1403</v>
      </c>
      <c r="D969" s="4" t="s">
        <v>1404</v>
      </c>
      <c r="E969" s="4" t="s">
        <v>1404</v>
      </c>
    </row>
    <row r="970" spans="2:9">
      <c r="B970" s="82" t="s">
        <v>12</v>
      </c>
      <c r="C970" s="4"/>
      <c r="D970" s="4">
        <v>200000</v>
      </c>
      <c r="E970" s="4">
        <v>200000</v>
      </c>
    </row>
    <row r="971" spans="2:9">
      <c r="B971" s="3" t="s">
        <v>1578</v>
      </c>
      <c r="C971" s="4">
        <f>AVERAGE(D971:E971)</f>
        <v>1185092.0675825209</v>
      </c>
      <c r="D971" s="4">
        <f>D968+D970</f>
        <v>1137304.7561890832</v>
      </c>
      <c r="E971" s="4">
        <f>E968+E970</f>
        <v>1232879.3789759586</v>
      </c>
    </row>
    <row r="972" spans="2:9">
      <c r="B972" s="82" t="s">
        <v>507</v>
      </c>
      <c r="C972" s="4">
        <f>(D971+E971)/2</f>
        <v>1185092.0675825209</v>
      </c>
      <c r="D972" s="4"/>
      <c r="E972" s="4"/>
    </row>
    <row r="973" spans="2:9">
      <c r="B973" s="3" t="s">
        <v>1579</v>
      </c>
      <c r="C973" s="172">
        <f>C972*1.18</f>
        <v>1398408.6397473747</v>
      </c>
    </row>
    <row r="975" spans="2:9" ht="19.5" thickBot="1"/>
    <row r="976" spans="2:9" ht="83.25" customHeight="1" thickBot="1">
      <c r="B976" s="226" t="s">
        <v>1582</v>
      </c>
      <c r="C976" s="227"/>
      <c r="D976" s="227"/>
      <c r="E976" s="227"/>
      <c r="F976" s="227"/>
      <c r="G976" s="227"/>
      <c r="H976" s="227"/>
      <c r="I976" s="228"/>
    </row>
    <row r="978" spans="2:7">
      <c r="B978" s="3"/>
      <c r="C978" s="4" t="s">
        <v>1379</v>
      </c>
      <c r="D978" s="4" t="s">
        <v>1380</v>
      </c>
      <c r="E978" s="4" t="s">
        <v>82</v>
      </c>
      <c r="F978" s="4" t="s">
        <v>80</v>
      </c>
      <c r="G978" s="4" t="s">
        <v>1382</v>
      </c>
    </row>
    <row r="979" spans="2:7">
      <c r="B979" s="82" t="s">
        <v>241</v>
      </c>
      <c r="C979" s="37">
        <v>40</v>
      </c>
      <c r="D979" s="37">
        <v>10</v>
      </c>
      <c r="E979" s="4" t="s">
        <v>1583</v>
      </c>
      <c r="F979" s="121">
        <v>10000</v>
      </c>
      <c r="G979" s="3" t="s">
        <v>645</v>
      </c>
    </row>
    <row r="980" spans="2:7">
      <c r="B980" s="82" t="s">
        <v>242</v>
      </c>
      <c r="C980" s="37">
        <v>32</v>
      </c>
      <c r="D980" s="37">
        <v>24</v>
      </c>
      <c r="E980" s="4">
        <v>0.5</v>
      </c>
      <c r="F980" s="121">
        <v>9500</v>
      </c>
      <c r="G980" s="3" t="s">
        <v>646</v>
      </c>
    </row>
    <row r="981" spans="2:7">
      <c r="B981" s="82" t="s">
        <v>561</v>
      </c>
      <c r="C981" s="37">
        <v>20</v>
      </c>
      <c r="D981" s="37">
        <v>24</v>
      </c>
      <c r="E981" s="4">
        <v>0.35</v>
      </c>
      <c r="F981" s="121">
        <v>12000</v>
      </c>
      <c r="G981" s="3" t="s">
        <v>645</v>
      </c>
    </row>
    <row r="982" spans="2:7">
      <c r="B982" s="82" t="s">
        <v>649</v>
      </c>
      <c r="C982" s="37">
        <v>50</v>
      </c>
      <c r="D982" s="37">
        <v>16</v>
      </c>
      <c r="E982" s="4" t="s">
        <v>1583</v>
      </c>
      <c r="F982" s="121">
        <v>15950</v>
      </c>
      <c r="G982" s="3" t="s">
        <v>646</v>
      </c>
    </row>
    <row r="983" spans="2:7">
      <c r="B983" s="1" t="s">
        <v>31</v>
      </c>
      <c r="C983" s="17">
        <v>0.1</v>
      </c>
    </row>
    <row r="984" spans="2:7">
      <c r="C984" s="17"/>
    </row>
    <row r="985" spans="2:7">
      <c r="B985" s="2" t="s">
        <v>7</v>
      </c>
    </row>
    <row r="986" spans="2:7">
      <c r="B986" s="3"/>
      <c r="C986" s="102" t="s">
        <v>1379</v>
      </c>
      <c r="D986" s="102" t="s">
        <v>1380</v>
      </c>
      <c r="E986" s="4" t="s">
        <v>1336</v>
      </c>
    </row>
    <row r="987" spans="2:7">
      <c r="B987" s="82" t="s">
        <v>241</v>
      </c>
      <c r="C987" s="37">
        <v>10</v>
      </c>
      <c r="D987" s="37">
        <v>40</v>
      </c>
      <c r="E987" s="4">
        <f>F979*(1-C983)</f>
        <v>9000</v>
      </c>
      <c r="F987" s="1" t="s">
        <v>1584</v>
      </c>
    </row>
    <row r="988" spans="2:7">
      <c r="B988" s="82" t="s">
        <v>242</v>
      </c>
      <c r="C988" s="37">
        <v>24</v>
      </c>
      <c r="D988" s="37">
        <v>32</v>
      </c>
      <c r="E988" s="4">
        <f>F980/(1-E980)</f>
        <v>19000</v>
      </c>
      <c r="F988" s="1" t="s">
        <v>1587</v>
      </c>
    </row>
    <row r="989" spans="2:7">
      <c r="B989" s="82" t="s">
        <v>561</v>
      </c>
      <c r="C989" s="37">
        <v>24</v>
      </c>
      <c r="D989" s="37">
        <v>20</v>
      </c>
      <c r="E989" s="4">
        <f>F981*(1-C983)/(1-E981)</f>
        <v>16615.384615384613</v>
      </c>
      <c r="F989" s="1" t="s">
        <v>1585</v>
      </c>
    </row>
    <row r="990" spans="2:7">
      <c r="B990" s="82" t="s">
        <v>649</v>
      </c>
      <c r="C990" s="37">
        <v>16</v>
      </c>
      <c r="D990" s="37">
        <v>50</v>
      </c>
      <c r="E990" s="4">
        <f>F982</f>
        <v>15950</v>
      </c>
      <c r="F990" s="1" t="s">
        <v>1586</v>
      </c>
    </row>
    <row r="992" spans="2:7">
      <c r="C992" s="4" t="s">
        <v>1588</v>
      </c>
      <c r="D992" s="4" t="s">
        <v>1634</v>
      </c>
      <c r="E992" s="4" t="s">
        <v>1589</v>
      </c>
    </row>
    <row r="993" spans="2:6">
      <c r="C993" s="4">
        <f t="array" ref="C993:E993">LINEST(E987:E990,C987:D990,1,0)</f>
        <v>198.52974697971285</v>
      </c>
      <c r="D993" s="4">
        <v>827.6722308919708</v>
      </c>
      <c r="E993" s="172">
        <v>-7218.3961354351131</v>
      </c>
    </row>
    <row r="996" spans="2:6">
      <c r="B996" s="78" t="s">
        <v>1590</v>
      </c>
    </row>
    <row r="997" spans="2:6">
      <c r="B997" s="78" t="s">
        <v>1617</v>
      </c>
    </row>
    <row r="998" spans="2:6">
      <c r="B998" s="78" t="s">
        <v>1591</v>
      </c>
    </row>
    <row r="999" spans="2:6">
      <c r="B999" s="78" t="s">
        <v>1592</v>
      </c>
    </row>
    <row r="1000" spans="2:6">
      <c r="B1000" s="78" t="s">
        <v>1593</v>
      </c>
    </row>
    <row r="1001" spans="2:6">
      <c r="B1001" s="78" t="s">
        <v>1618</v>
      </c>
    </row>
    <row r="1002" spans="2:6">
      <c r="B1002" s="78" t="s">
        <v>1623</v>
      </c>
    </row>
    <row r="1003" spans="2:6">
      <c r="B1003" s="78" t="s">
        <v>1594</v>
      </c>
    </row>
    <row r="1004" spans="2:6">
      <c r="B1004" s="78" t="s">
        <v>1595</v>
      </c>
    </row>
    <row r="1005" spans="2:6">
      <c r="B1005" s="78" t="s">
        <v>1619</v>
      </c>
    </row>
    <row r="1006" spans="2:6">
      <c r="B1006" s="78" t="s">
        <v>1620</v>
      </c>
    </row>
    <row r="1007" spans="2:6">
      <c r="B1007" s="78" t="s">
        <v>1596</v>
      </c>
    </row>
    <row r="1008" spans="2:6">
      <c r="B1008" s="222" t="s">
        <v>1622</v>
      </c>
      <c r="C1008" s="223"/>
      <c r="D1008" s="223"/>
      <c r="E1008" s="223"/>
      <c r="F1008" s="223"/>
    </row>
    <row r="1009" spans="2:9">
      <c r="B1009" s="222" t="s">
        <v>1621</v>
      </c>
      <c r="C1009" s="223"/>
      <c r="D1009" s="223"/>
      <c r="E1009" s="223"/>
      <c r="F1009" s="223"/>
    </row>
    <row r="1010" spans="2:9">
      <c r="B1010" s="78"/>
    </row>
    <row r="1011" spans="2:9">
      <c r="B1011" s="78"/>
    </row>
    <row r="1012" spans="2:9" ht="19.5" thickBot="1"/>
    <row r="1013" spans="2:9" ht="97.5" customHeight="1" thickBot="1">
      <c r="B1013" s="226" t="s">
        <v>1629</v>
      </c>
      <c r="C1013" s="227"/>
      <c r="D1013" s="227"/>
      <c r="E1013" s="227"/>
      <c r="F1013" s="227"/>
      <c r="G1013" s="227"/>
      <c r="H1013" s="227"/>
      <c r="I1013" s="228"/>
    </row>
    <row r="1015" spans="2:9">
      <c r="B1015" s="3"/>
      <c r="C1015" s="4" t="s">
        <v>4</v>
      </c>
      <c r="D1015" s="4" t="s">
        <v>5</v>
      </c>
    </row>
    <row r="1016" spans="2:9">
      <c r="B1016" s="3" t="s">
        <v>33</v>
      </c>
      <c r="C1016" s="4">
        <v>4</v>
      </c>
      <c r="D1016" s="4">
        <v>5</v>
      </c>
    </row>
    <row r="1017" spans="2:9">
      <c r="B1017" s="3" t="s">
        <v>34</v>
      </c>
      <c r="C1017" s="4">
        <v>9</v>
      </c>
      <c r="D1017" s="4">
        <v>9</v>
      </c>
    </row>
    <row r="1018" spans="2:9">
      <c r="B1018" s="3" t="s">
        <v>15</v>
      </c>
      <c r="C1018" s="21">
        <f>1-EXP(-1.6*C1016/C1017)</f>
        <v>0.50890177049784491</v>
      </c>
      <c r="D1018" s="21">
        <f>1-EXP(-1.6*D1016/D1017)</f>
        <v>0.58888770949281255</v>
      </c>
      <c r="E1018" s="24" t="s">
        <v>1599</v>
      </c>
    </row>
    <row r="1019" spans="2:9">
      <c r="B1019" s="3" t="s">
        <v>1597</v>
      </c>
      <c r="C1019" s="89">
        <f>1-C1018</f>
        <v>0.49109822950215509</v>
      </c>
      <c r="D1019" s="89">
        <f>1-D1018</f>
        <v>0.41111229050718745</v>
      </c>
    </row>
    <row r="1020" spans="2:9">
      <c r="B1020" s="3" t="s">
        <v>1598</v>
      </c>
      <c r="C1020" s="4"/>
      <c r="D1020" s="210">
        <f>C1019/D1019-1</f>
        <v>0.19455983399642296</v>
      </c>
      <c r="E1020" s="1" t="s">
        <v>1601</v>
      </c>
    </row>
    <row r="1022" spans="2:9" ht="19.5" thickBot="1"/>
    <row r="1023" spans="2:9" ht="96" customHeight="1" thickBot="1">
      <c r="B1023" s="226" t="s">
        <v>1628</v>
      </c>
      <c r="C1023" s="227"/>
      <c r="D1023" s="227"/>
      <c r="E1023" s="227"/>
      <c r="F1023" s="227"/>
      <c r="G1023" s="227"/>
      <c r="H1023" s="227"/>
      <c r="I1023" s="228"/>
    </row>
    <row r="1025" spans="2:9">
      <c r="B1025" s="3"/>
      <c r="C1025" s="4" t="s">
        <v>4</v>
      </c>
      <c r="D1025" s="4" t="s">
        <v>5</v>
      </c>
    </row>
    <row r="1026" spans="2:9">
      <c r="B1026" s="3" t="s">
        <v>33</v>
      </c>
      <c r="C1026" s="4">
        <v>4</v>
      </c>
      <c r="D1026" s="4">
        <v>3</v>
      </c>
    </row>
    <row r="1027" spans="2:9">
      <c r="B1027" s="3" t="s">
        <v>34</v>
      </c>
      <c r="C1027" s="4">
        <v>9</v>
      </c>
      <c r="D1027" s="4">
        <v>9</v>
      </c>
    </row>
    <row r="1028" spans="2:9">
      <c r="B1028" s="3" t="s">
        <v>15</v>
      </c>
      <c r="C1028" s="21">
        <f>1-EXP(-1.6*C1026/C1027)</f>
        <v>0.50890177049784491</v>
      </c>
      <c r="D1028" s="21">
        <f>1-EXP(-1.6*D1026/D1027)</f>
        <v>0.41335378048996829</v>
      </c>
      <c r="E1028" s="24" t="s">
        <v>1599</v>
      </c>
    </row>
    <row r="1029" spans="2:9">
      <c r="B1029" s="3" t="s">
        <v>1597</v>
      </c>
      <c r="C1029" s="219">
        <f>1-C1028</f>
        <v>0.49109822950215509</v>
      </c>
      <c r="D1029" s="219">
        <f>1-D1028</f>
        <v>0.58664621951003171</v>
      </c>
      <c r="E1029" s="24"/>
    </row>
    <row r="1030" spans="2:9">
      <c r="B1030" s="3" t="s">
        <v>1361</v>
      </c>
      <c r="C1030" s="21"/>
      <c r="D1030" s="21">
        <f>C1029/D1029-1</f>
        <v>-0.16287156863923635</v>
      </c>
      <c r="E1030" s="24" t="s">
        <v>1601</v>
      </c>
    </row>
    <row r="1031" spans="2:9">
      <c r="B1031" s="3" t="s">
        <v>249</v>
      </c>
      <c r="C1031" s="4"/>
      <c r="D1031" s="4">
        <v>700000</v>
      </c>
      <c r="E1031" s="1" t="s">
        <v>1600</v>
      </c>
    </row>
    <row r="1032" spans="2:9">
      <c r="B1032" s="3" t="s">
        <v>1361</v>
      </c>
      <c r="C1032" s="4"/>
      <c r="D1032" s="172">
        <f>D1031*D1030</f>
        <v>-114010.09804746545</v>
      </c>
    </row>
    <row r="1034" spans="2:9" ht="19.5" thickBot="1"/>
    <row r="1035" spans="2:9" ht="60.75" customHeight="1" thickBot="1">
      <c r="B1035" s="226" t="s">
        <v>1602</v>
      </c>
      <c r="C1035" s="227"/>
      <c r="D1035" s="227"/>
      <c r="E1035" s="227"/>
      <c r="F1035" s="227"/>
      <c r="G1035" s="227"/>
      <c r="H1035" s="227"/>
      <c r="I1035" s="228"/>
    </row>
    <row r="1037" spans="2:9">
      <c r="B1037" s="3" t="s">
        <v>1603</v>
      </c>
      <c r="C1037" s="3">
        <v>100000</v>
      </c>
    </row>
    <row r="1038" spans="2:9">
      <c r="B1038" s="3" t="s">
        <v>1604</v>
      </c>
      <c r="C1038" s="112">
        <v>0.3</v>
      </c>
    </row>
    <row r="1039" spans="2:9">
      <c r="B1039" s="3" t="s">
        <v>1605</v>
      </c>
      <c r="C1039" s="112">
        <v>0.1</v>
      </c>
    </row>
    <row r="1040" spans="2:9">
      <c r="B1040" s="6" t="s">
        <v>7</v>
      </c>
      <c r="C1040" s="3"/>
    </row>
    <row r="1041" spans="2:3">
      <c r="B1041" s="3" t="s">
        <v>98</v>
      </c>
      <c r="C1041" s="3">
        <f>C1037*C1038</f>
        <v>30000</v>
      </c>
    </row>
    <row r="1042" spans="2:3">
      <c r="B1042" s="3" t="s">
        <v>152</v>
      </c>
      <c r="C1042" s="3">
        <f>C1041*C1039</f>
        <v>3000</v>
      </c>
    </row>
    <row r="1043" spans="2:3">
      <c r="B1043" s="3" t="s">
        <v>1606</v>
      </c>
      <c r="C1043" s="15">
        <f>C1037-C1042</f>
        <v>97000</v>
      </c>
    </row>
  </sheetData>
  <mergeCells count="46">
    <mergeCell ref="B1023:I1023"/>
    <mergeCell ref="B1035:I1035"/>
    <mergeCell ref="B869:I869"/>
    <mergeCell ref="B876:I876"/>
    <mergeCell ref="B927:I927"/>
    <mergeCell ref="B976:I976"/>
    <mergeCell ref="B1013:I1013"/>
    <mergeCell ref="B769:I769"/>
    <mergeCell ref="B782:I782"/>
    <mergeCell ref="B794:I794"/>
    <mergeCell ref="B808:I808"/>
    <mergeCell ref="B860:I860"/>
    <mergeCell ref="B726:I726"/>
    <mergeCell ref="B742:I742"/>
    <mergeCell ref="B751:I751"/>
    <mergeCell ref="B539:I539"/>
    <mergeCell ref="B607:I607"/>
    <mergeCell ref="B621:I621"/>
    <mergeCell ref="B643:I643"/>
    <mergeCell ref="B711:I711"/>
    <mergeCell ref="B461:I461"/>
    <mergeCell ref="B478:I478"/>
    <mergeCell ref="B489:I489"/>
    <mergeCell ref="B507:I507"/>
    <mergeCell ref="B523:I523"/>
    <mergeCell ref="B306:I306"/>
    <mergeCell ref="B333:I333"/>
    <mergeCell ref="B354:I354"/>
    <mergeCell ref="B372:I372"/>
    <mergeCell ref="B396:I396"/>
    <mergeCell ref="B2:I2"/>
    <mergeCell ref="B763:I763"/>
    <mergeCell ref="B212:I212"/>
    <mergeCell ref="B223:I223"/>
    <mergeCell ref="B237:I237"/>
    <mergeCell ref="B253:I253"/>
    <mergeCell ref="B292:I292"/>
    <mergeCell ref="B119:I119"/>
    <mergeCell ref="B134:I134"/>
    <mergeCell ref="B149:I149"/>
    <mergeCell ref="B164:I164"/>
    <mergeCell ref="B185:I185"/>
    <mergeCell ref="B11:I11"/>
    <mergeCell ref="B27:I27"/>
    <mergeCell ref="B92:I92"/>
    <mergeCell ref="B108:I108"/>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9CAA5-B570-4A76-A0EF-CAF731CA9D60}">
  <dimension ref="B1:L730"/>
  <sheetViews>
    <sheetView zoomScale="115" zoomScaleNormal="115" workbookViewId="0"/>
  </sheetViews>
  <sheetFormatPr defaultColWidth="9.140625" defaultRowHeight="18.75"/>
  <cols>
    <col min="1" max="1" width="2.5703125" style="1" customWidth="1"/>
    <col min="2" max="2" width="45.140625" style="105" bestFit="1" customWidth="1"/>
    <col min="3" max="9" width="18.140625" style="105" customWidth="1"/>
    <col min="10" max="10" width="17.85546875" style="105" customWidth="1"/>
    <col min="11" max="12" width="17.5703125" style="1" customWidth="1"/>
    <col min="13" max="16384" width="9.140625" style="1"/>
  </cols>
  <sheetData>
    <row r="1" spans="2:10" ht="6.75" customHeight="1">
      <c r="B1" s="1"/>
      <c r="C1" s="1"/>
      <c r="D1" s="1"/>
      <c r="E1" s="1"/>
      <c r="F1" s="1"/>
      <c r="G1" s="1"/>
      <c r="H1" s="1"/>
      <c r="I1" s="1"/>
      <c r="J1" s="1"/>
    </row>
    <row r="2" spans="2:10" ht="33.75">
      <c r="B2" s="232" t="s">
        <v>0</v>
      </c>
      <c r="C2" s="232"/>
      <c r="D2" s="232"/>
      <c r="E2" s="232"/>
      <c r="F2" s="232"/>
      <c r="G2" s="232"/>
      <c r="H2" s="232"/>
      <c r="I2" s="232"/>
      <c r="J2" s="1"/>
    </row>
    <row r="3" spans="2:10">
      <c r="B3" s="1"/>
      <c r="C3" s="1"/>
      <c r="D3" s="1"/>
      <c r="E3" s="1"/>
      <c r="F3" s="1"/>
      <c r="G3" s="1"/>
      <c r="H3" s="1"/>
      <c r="I3" s="1"/>
      <c r="J3" s="1"/>
    </row>
    <row r="4" spans="2:10" ht="28.5">
      <c r="B4" s="137" t="s">
        <v>963</v>
      </c>
      <c r="C4" s="1"/>
      <c r="D4" s="1"/>
      <c r="E4" s="1"/>
      <c r="F4" s="1"/>
      <c r="G4" s="1"/>
      <c r="H4" s="1"/>
      <c r="I4" s="1"/>
      <c r="J4" s="1"/>
    </row>
    <row r="5" spans="2:10" ht="29.25">
      <c r="B5" s="138" t="s">
        <v>1151</v>
      </c>
      <c r="C5" s="1"/>
      <c r="D5" s="1"/>
      <c r="E5" s="1"/>
      <c r="F5" s="1"/>
      <c r="G5" s="1"/>
      <c r="H5" s="1"/>
      <c r="I5" s="1"/>
      <c r="J5" s="1"/>
    </row>
    <row r="6" spans="2:10" ht="29.25">
      <c r="B6" s="138" t="s">
        <v>1149</v>
      </c>
      <c r="C6" s="1"/>
      <c r="D6" s="1"/>
      <c r="E6" s="1"/>
      <c r="F6" s="1"/>
      <c r="G6" s="1"/>
      <c r="H6" s="1"/>
      <c r="I6" s="1"/>
      <c r="J6" s="1"/>
    </row>
    <row r="7" spans="2:10" ht="29.25">
      <c r="B7" s="138" t="s">
        <v>1150</v>
      </c>
      <c r="C7" s="1"/>
      <c r="D7" s="1"/>
      <c r="E7" s="1"/>
      <c r="F7" s="1"/>
      <c r="G7" s="1"/>
      <c r="H7" s="1"/>
      <c r="I7" s="1"/>
      <c r="J7" s="1"/>
    </row>
    <row r="8" spans="2:10" ht="29.25">
      <c r="B8" s="138" t="s">
        <v>1154</v>
      </c>
      <c r="C8" s="1"/>
      <c r="D8" s="1"/>
      <c r="E8" s="1"/>
      <c r="F8" s="1"/>
      <c r="G8" s="1"/>
      <c r="H8" s="1"/>
      <c r="I8" s="1"/>
      <c r="J8" s="1"/>
    </row>
    <row r="9" spans="2:10" ht="29.25">
      <c r="B9" s="138" t="s">
        <v>1169</v>
      </c>
      <c r="C9" s="1"/>
      <c r="D9" s="1"/>
      <c r="E9" s="1"/>
      <c r="F9" s="1"/>
      <c r="G9" s="1"/>
      <c r="H9" s="1"/>
      <c r="I9" s="1"/>
      <c r="J9" s="1"/>
    </row>
    <row r="10" spans="2:10">
      <c r="B10" s="1"/>
      <c r="C10" s="1"/>
      <c r="D10" s="1"/>
      <c r="E10" s="1"/>
      <c r="F10" s="1"/>
      <c r="G10" s="1"/>
      <c r="H10" s="1"/>
      <c r="I10" s="1"/>
      <c r="J10" s="1"/>
    </row>
    <row r="11" spans="2:10">
      <c r="B11" s="1"/>
      <c r="C11" s="1"/>
      <c r="D11" s="1"/>
      <c r="E11" s="1"/>
      <c r="F11" s="1"/>
      <c r="G11" s="1"/>
      <c r="H11" s="1"/>
      <c r="I11" s="1"/>
      <c r="J11" s="1"/>
    </row>
    <row r="12" spans="2:10" ht="19.5" thickBot="1">
      <c r="B12" s="1"/>
      <c r="C12" s="1"/>
      <c r="D12" s="1"/>
      <c r="E12" s="1"/>
      <c r="F12" s="1"/>
      <c r="G12" s="1"/>
      <c r="H12" s="1"/>
      <c r="I12" s="1"/>
      <c r="J12" s="1"/>
    </row>
    <row r="13" spans="2:10" ht="56.25" customHeight="1" thickBot="1">
      <c r="B13" s="226" t="s">
        <v>1152</v>
      </c>
      <c r="C13" s="227"/>
      <c r="D13" s="227"/>
      <c r="E13" s="227"/>
      <c r="F13" s="227"/>
      <c r="G13" s="227"/>
      <c r="H13" s="227"/>
      <c r="I13" s="228"/>
      <c r="J13" s="1"/>
    </row>
    <row r="14" spans="2:10">
      <c r="B14" s="1"/>
      <c r="C14" s="1"/>
      <c r="D14" s="1"/>
      <c r="E14" s="1"/>
      <c r="F14" s="1"/>
      <c r="G14" s="1"/>
      <c r="H14" s="1"/>
      <c r="I14" s="1"/>
      <c r="J14" s="1"/>
    </row>
    <row r="15" spans="2:10">
      <c r="B15" s="1"/>
      <c r="C15" s="1"/>
      <c r="D15" s="1"/>
      <c r="E15" s="1"/>
      <c r="F15" s="1"/>
      <c r="G15" s="1"/>
      <c r="H15" s="1"/>
      <c r="I15" s="1"/>
      <c r="J15" s="1"/>
    </row>
    <row r="16" spans="2:10">
      <c r="B16" s="3" t="s">
        <v>753</v>
      </c>
      <c r="C16" s="3">
        <v>100000</v>
      </c>
      <c r="D16" s="1"/>
      <c r="E16" s="1"/>
      <c r="F16" s="1"/>
      <c r="G16" s="1"/>
      <c r="H16" s="1"/>
      <c r="I16" s="1"/>
      <c r="J16" s="1"/>
    </row>
    <row r="17" spans="2:10">
      <c r="B17" s="3" t="s">
        <v>754</v>
      </c>
      <c r="C17" s="9">
        <v>0.8</v>
      </c>
      <c r="D17" s="1"/>
      <c r="E17" s="1"/>
      <c r="F17" s="1"/>
      <c r="G17" s="1"/>
      <c r="H17" s="1"/>
      <c r="I17" s="1"/>
      <c r="J17" s="1"/>
    </row>
    <row r="18" spans="2:10">
      <c r="B18" s="3" t="s">
        <v>755</v>
      </c>
      <c r="C18" s="9">
        <v>0.15</v>
      </c>
      <c r="D18" s="1"/>
      <c r="E18" s="1"/>
      <c r="F18" s="1"/>
      <c r="G18" s="1"/>
      <c r="H18" s="1"/>
      <c r="I18" s="1"/>
      <c r="J18" s="1"/>
    </row>
    <row r="19" spans="2:10">
      <c r="B19" s="3" t="s">
        <v>88</v>
      </c>
      <c r="C19" s="9">
        <v>0.2</v>
      </c>
      <c r="D19" s="1"/>
      <c r="E19" s="1"/>
      <c r="F19" s="1"/>
      <c r="G19" s="1"/>
      <c r="H19" s="1"/>
      <c r="I19" s="1"/>
      <c r="J19" s="1"/>
    </row>
    <row r="20" spans="2:10">
      <c r="B20" s="3" t="s">
        <v>21</v>
      </c>
      <c r="C20" s="3">
        <v>20</v>
      </c>
      <c r="D20" s="1"/>
      <c r="E20" s="1"/>
      <c r="F20" s="1"/>
      <c r="G20" s="1"/>
      <c r="H20" s="1"/>
      <c r="I20" s="1"/>
      <c r="J20" s="1"/>
    </row>
    <row r="21" spans="2:10">
      <c r="B21" s="6" t="s">
        <v>7</v>
      </c>
      <c r="C21" s="3"/>
      <c r="D21" s="1"/>
      <c r="E21" s="1"/>
      <c r="F21" s="1"/>
      <c r="G21" s="1"/>
      <c r="H21" s="1"/>
      <c r="I21" s="1"/>
      <c r="J21" s="1"/>
    </row>
    <row r="22" spans="2:10">
      <c r="B22" s="3" t="s">
        <v>756</v>
      </c>
      <c r="C22" s="9">
        <f>1/C20</f>
        <v>0.05</v>
      </c>
      <c r="D22" s="1"/>
      <c r="E22" s="1"/>
      <c r="F22" s="1"/>
      <c r="G22" s="1"/>
      <c r="H22" s="1"/>
      <c r="I22" s="1"/>
      <c r="J22" s="1"/>
    </row>
    <row r="23" spans="2:10">
      <c r="B23" s="3" t="s">
        <v>394</v>
      </c>
      <c r="C23" s="9">
        <f>C19+C22</f>
        <v>0.25</v>
      </c>
      <c r="D23" s="1"/>
      <c r="E23" s="1"/>
      <c r="F23" s="1"/>
      <c r="G23" s="1"/>
      <c r="H23" s="1"/>
      <c r="I23" s="1"/>
      <c r="J23" s="1"/>
    </row>
    <row r="24" spans="2:10">
      <c r="B24" s="3" t="s">
        <v>757</v>
      </c>
      <c r="C24" s="3">
        <f>C16*C17</f>
        <v>80000</v>
      </c>
      <c r="D24" s="1"/>
      <c r="E24" s="1"/>
      <c r="F24" s="1"/>
      <c r="G24" s="1"/>
      <c r="H24" s="1"/>
      <c r="I24" s="1"/>
      <c r="J24" s="1"/>
    </row>
    <row r="25" spans="2:10">
      <c r="B25" s="3" t="s">
        <v>755</v>
      </c>
      <c r="C25" s="3">
        <f>C16*C18</f>
        <v>15000</v>
      </c>
      <c r="D25" s="1"/>
      <c r="E25" s="1"/>
      <c r="F25" s="1"/>
      <c r="G25" s="1"/>
      <c r="H25" s="1"/>
      <c r="I25" s="1"/>
      <c r="J25" s="1"/>
    </row>
    <row r="26" spans="2:10">
      <c r="B26" s="3" t="s">
        <v>758</v>
      </c>
      <c r="C26" s="3">
        <f>C24-C25</f>
        <v>65000</v>
      </c>
      <c r="D26" s="1"/>
      <c r="E26" s="1"/>
      <c r="F26" s="1"/>
      <c r="G26" s="1"/>
      <c r="H26" s="1"/>
      <c r="I26" s="1"/>
      <c r="J26" s="1"/>
    </row>
    <row r="27" spans="2:10">
      <c r="B27" s="3" t="s">
        <v>13</v>
      </c>
      <c r="C27" s="15">
        <f>C26/C23</f>
        <v>260000</v>
      </c>
      <c r="D27" s="1"/>
      <c r="E27" s="1"/>
      <c r="F27" s="1"/>
      <c r="G27" s="1"/>
      <c r="H27" s="1"/>
      <c r="I27" s="1"/>
      <c r="J27" s="1"/>
    </row>
    <row r="28" spans="2:10">
      <c r="B28" s="1"/>
      <c r="C28" s="1"/>
      <c r="D28" s="1"/>
      <c r="E28" s="1"/>
      <c r="F28" s="1"/>
      <c r="G28" s="1"/>
      <c r="H28" s="1"/>
      <c r="I28" s="1"/>
      <c r="J28" s="1"/>
    </row>
    <row r="29" spans="2:10">
      <c r="B29" s="1"/>
      <c r="C29" s="1"/>
      <c r="D29" s="1"/>
      <c r="E29" s="1"/>
      <c r="F29" s="1"/>
      <c r="G29" s="1"/>
      <c r="H29" s="1"/>
      <c r="I29" s="1"/>
      <c r="J29" s="1"/>
    </row>
    <row r="30" spans="2:10">
      <c r="B30" s="1"/>
      <c r="C30" s="1"/>
      <c r="D30" s="1"/>
      <c r="E30" s="1"/>
      <c r="F30" s="1"/>
      <c r="G30" s="1"/>
      <c r="H30" s="1"/>
      <c r="I30" s="1"/>
      <c r="J30" s="1"/>
    </row>
    <row r="31" spans="2:10">
      <c r="B31" s="1"/>
      <c r="C31" s="1"/>
      <c r="D31" s="1"/>
      <c r="E31" s="1"/>
      <c r="F31" s="1"/>
      <c r="G31" s="1"/>
      <c r="H31" s="1"/>
      <c r="I31" s="1"/>
      <c r="J31" s="1"/>
    </row>
    <row r="32" spans="2:10">
      <c r="B32" s="1"/>
      <c r="C32" s="1"/>
      <c r="D32" s="1"/>
      <c r="E32" s="1"/>
      <c r="F32" s="1"/>
      <c r="G32" s="1"/>
      <c r="H32" s="1"/>
      <c r="I32" s="1"/>
      <c r="J32" s="1"/>
    </row>
    <row r="33" spans="2:10">
      <c r="B33" s="1"/>
      <c r="C33" s="1"/>
      <c r="D33" s="1"/>
      <c r="E33" s="1"/>
      <c r="F33" s="1"/>
      <c r="G33" s="1"/>
      <c r="H33" s="1"/>
      <c r="I33" s="1"/>
      <c r="J33" s="1"/>
    </row>
    <row r="34" spans="2:10" ht="19.5" thickBot="1">
      <c r="B34" s="1"/>
      <c r="C34" s="1"/>
      <c r="D34" s="1"/>
      <c r="E34" s="1"/>
      <c r="F34" s="1"/>
      <c r="G34" s="1"/>
      <c r="H34" s="1"/>
      <c r="I34" s="1"/>
      <c r="J34" s="1"/>
    </row>
    <row r="35" spans="2:10" ht="73.900000000000006" customHeight="1" thickBot="1">
      <c r="B35" s="226" t="s">
        <v>762</v>
      </c>
      <c r="C35" s="227"/>
      <c r="D35" s="227"/>
      <c r="E35" s="227"/>
      <c r="F35" s="227"/>
      <c r="G35" s="227"/>
      <c r="H35" s="227"/>
      <c r="I35" s="228"/>
      <c r="J35" s="1"/>
    </row>
    <row r="36" spans="2:10">
      <c r="B36" s="1"/>
      <c r="C36" s="1"/>
      <c r="D36" s="1"/>
      <c r="E36" s="1"/>
      <c r="F36" s="1"/>
      <c r="G36" s="1"/>
      <c r="H36" s="1"/>
      <c r="I36" s="1"/>
      <c r="J36" s="1"/>
    </row>
    <row r="37" spans="2:10">
      <c r="B37" s="1"/>
      <c r="C37" s="1"/>
      <c r="D37" s="1"/>
      <c r="E37" s="1"/>
      <c r="F37" s="1"/>
      <c r="G37" s="1"/>
      <c r="H37" s="1"/>
      <c r="I37" s="1"/>
      <c r="J37" s="1"/>
    </row>
    <row r="38" spans="2:10">
      <c r="B38" s="3" t="s">
        <v>753</v>
      </c>
      <c r="C38" s="3">
        <v>2000000</v>
      </c>
      <c r="D38" s="1"/>
      <c r="E38" s="1"/>
      <c r="F38" s="1"/>
      <c r="G38" s="1"/>
      <c r="H38" s="1"/>
      <c r="I38" s="1"/>
      <c r="J38" s="1"/>
    </row>
    <row r="39" spans="2:10">
      <c r="B39" s="3" t="s">
        <v>759</v>
      </c>
      <c r="C39" s="9">
        <v>0.05</v>
      </c>
      <c r="D39" s="1"/>
      <c r="E39" s="1"/>
      <c r="F39" s="1"/>
      <c r="G39" s="1"/>
      <c r="H39" s="1"/>
      <c r="I39" s="1"/>
      <c r="J39" s="1"/>
    </row>
    <row r="40" spans="2:10">
      <c r="B40" s="3" t="s">
        <v>760</v>
      </c>
      <c r="C40" s="3">
        <v>1200000</v>
      </c>
      <c r="D40" s="1"/>
      <c r="E40" s="1"/>
      <c r="F40" s="1"/>
      <c r="G40" s="1"/>
      <c r="H40" s="1"/>
      <c r="I40" s="1"/>
      <c r="J40" s="1"/>
    </row>
    <row r="41" spans="2:10">
      <c r="B41" s="3" t="s">
        <v>88</v>
      </c>
      <c r="C41" s="9">
        <v>0.14000000000000001</v>
      </c>
      <c r="D41" s="1"/>
      <c r="E41" s="1"/>
      <c r="F41" s="1"/>
      <c r="G41" s="1"/>
      <c r="H41" s="1"/>
      <c r="I41" s="1"/>
      <c r="J41" s="1"/>
    </row>
    <row r="42" spans="2:10">
      <c r="B42" s="3" t="s">
        <v>761</v>
      </c>
      <c r="C42" s="9">
        <v>0.08</v>
      </c>
      <c r="D42" s="1"/>
      <c r="E42" s="1"/>
      <c r="F42" s="1"/>
      <c r="G42" s="1"/>
      <c r="H42" s="1"/>
      <c r="I42" s="1"/>
      <c r="J42" s="1"/>
    </row>
    <row r="43" spans="2:10">
      <c r="B43" s="6" t="s">
        <v>7</v>
      </c>
      <c r="C43" s="3"/>
      <c r="D43" s="1"/>
      <c r="E43" s="1"/>
      <c r="F43" s="1"/>
      <c r="G43" s="1"/>
      <c r="H43" s="1"/>
      <c r="I43" s="1"/>
      <c r="J43" s="1"/>
    </row>
    <row r="44" spans="2:10">
      <c r="B44" s="3" t="s">
        <v>394</v>
      </c>
      <c r="C44" s="9">
        <f>C41+C42</f>
        <v>0.22000000000000003</v>
      </c>
      <c r="D44" s="1"/>
      <c r="E44" s="1"/>
      <c r="F44" s="1"/>
      <c r="G44" s="1"/>
      <c r="H44" s="1"/>
      <c r="I44" s="1"/>
      <c r="J44" s="1"/>
    </row>
    <row r="45" spans="2:10">
      <c r="B45" s="3" t="s">
        <v>757</v>
      </c>
      <c r="C45" s="3">
        <f>C38*(1-C39)</f>
        <v>1900000</v>
      </c>
      <c r="D45" s="1"/>
      <c r="E45" s="1"/>
      <c r="F45" s="1"/>
      <c r="G45" s="1"/>
      <c r="H45" s="1"/>
      <c r="I45" s="1"/>
      <c r="J45" s="1"/>
    </row>
    <row r="46" spans="2:10">
      <c r="B46" s="3" t="s">
        <v>758</v>
      </c>
      <c r="C46" s="3">
        <f>C45-C40</f>
        <v>700000</v>
      </c>
      <c r="D46" s="1"/>
      <c r="E46" s="1"/>
      <c r="F46" s="1"/>
      <c r="G46" s="1"/>
      <c r="H46" s="1"/>
      <c r="I46" s="1"/>
      <c r="J46" s="1"/>
    </row>
    <row r="47" spans="2:10">
      <c r="B47" s="3" t="s">
        <v>13</v>
      </c>
      <c r="C47" s="15">
        <f>C46/C44</f>
        <v>3181818.1818181812</v>
      </c>
      <c r="D47" s="1"/>
      <c r="E47" s="1"/>
      <c r="F47" s="1"/>
      <c r="G47" s="1"/>
      <c r="H47" s="1"/>
      <c r="I47" s="1"/>
      <c r="J47" s="1"/>
    </row>
    <row r="48" spans="2:10">
      <c r="B48" s="1"/>
      <c r="C48" s="1"/>
      <c r="D48" s="1"/>
      <c r="E48" s="1"/>
      <c r="F48" s="1"/>
      <c r="G48" s="1"/>
      <c r="H48" s="1"/>
      <c r="I48" s="1"/>
      <c r="J48" s="1"/>
    </row>
    <row r="49" spans="2:10">
      <c r="B49" s="1"/>
      <c r="C49" s="1"/>
      <c r="D49" s="1"/>
      <c r="E49" s="1"/>
      <c r="F49" s="1"/>
      <c r="G49" s="1"/>
      <c r="H49" s="1"/>
      <c r="I49" s="1"/>
      <c r="J49" s="1"/>
    </row>
    <row r="50" spans="2:10">
      <c r="B50" s="1"/>
      <c r="C50" s="1"/>
      <c r="D50" s="1"/>
      <c r="E50" s="1"/>
      <c r="F50" s="1"/>
      <c r="G50" s="1"/>
      <c r="H50" s="1"/>
      <c r="I50" s="1"/>
      <c r="J50" s="1"/>
    </row>
    <row r="51" spans="2:10">
      <c r="B51" s="1"/>
      <c r="C51" s="1"/>
      <c r="D51" s="1"/>
      <c r="E51" s="1"/>
      <c r="F51" s="1"/>
      <c r="G51" s="1"/>
      <c r="H51" s="1"/>
      <c r="I51" s="1"/>
      <c r="J51" s="1"/>
    </row>
    <row r="52" spans="2:10">
      <c r="B52" s="1"/>
      <c r="C52" s="1"/>
      <c r="D52" s="1"/>
      <c r="E52" s="1"/>
      <c r="F52" s="1"/>
      <c r="G52" s="1"/>
      <c r="H52" s="1"/>
      <c r="I52" s="1"/>
      <c r="J52" s="1"/>
    </row>
    <row r="53" spans="2:10">
      <c r="B53" s="1"/>
      <c r="C53" s="1"/>
      <c r="D53" s="1"/>
      <c r="E53" s="1"/>
      <c r="F53" s="1"/>
      <c r="G53" s="1"/>
      <c r="H53" s="1"/>
      <c r="I53" s="1"/>
      <c r="J53" s="1"/>
    </row>
    <row r="54" spans="2:10" ht="19.5" thickBot="1">
      <c r="B54" s="1"/>
      <c r="C54" s="1"/>
      <c r="D54" s="1"/>
      <c r="E54" s="1"/>
      <c r="F54" s="1"/>
      <c r="G54" s="1"/>
      <c r="H54" s="1"/>
      <c r="I54" s="1"/>
      <c r="J54" s="1"/>
    </row>
    <row r="55" spans="2:10" ht="40.5" customHeight="1" thickBot="1">
      <c r="B55" s="226" t="s">
        <v>1153</v>
      </c>
      <c r="C55" s="227"/>
      <c r="D55" s="227"/>
      <c r="E55" s="227"/>
      <c r="F55" s="227"/>
      <c r="G55" s="227"/>
      <c r="H55" s="227"/>
      <c r="I55" s="228"/>
      <c r="J55" s="1"/>
    </row>
    <row r="56" spans="2:10">
      <c r="B56" s="1"/>
      <c r="C56" s="1"/>
      <c r="D56" s="1"/>
      <c r="E56" s="1"/>
      <c r="F56" s="1"/>
      <c r="G56" s="1"/>
      <c r="H56" s="1"/>
      <c r="I56" s="1"/>
      <c r="J56" s="1"/>
    </row>
    <row r="57" spans="2:10">
      <c r="B57" s="1"/>
      <c r="C57" s="1"/>
      <c r="D57" s="1"/>
      <c r="E57" s="1"/>
      <c r="F57" s="1"/>
      <c r="G57" s="1"/>
      <c r="H57" s="1"/>
      <c r="I57" s="1"/>
      <c r="J57" s="1"/>
    </row>
    <row r="58" spans="2:10">
      <c r="B58" s="3" t="s">
        <v>753</v>
      </c>
      <c r="C58" s="3">
        <v>1500000</v>
      </c>
      <c r="D58" s="1"/>
      <c r="E58" s="1"/>
      <c r="F58" s="1"/>
      <c r="G58" s="1"/>
      <c r="H58" s="1"/>
      <c r="I58" s="1"/>
      <c r="J58" s="1"/>
    </row>
    <row r="59" spans="2:10">
      <c r="B59" s="3" t="s">
        <v>759</v>
      </c>
      <c r="C59" s="9">
        <v>0.1</v>
      </c>
      <c r="D59" s="1"/>
      <c r="E59" s="1"/>
      <c r="F59" s="1"/>
      <c r="G59" s="1"/>
      <c r="H59" s="1"/>
      <c r="I59" s="1"/>
      <c r="J59" s="1"/>
    </row>
    <row r="60" spans="2:10">
      <c r="B60" s="3" t="s">
        <v>763</v>
      </c>
      <c r="C60" s="9">
        <v>0.15</v>
      </c>
      <c r="D60" s="1"/>
      <c r="E60" s="1"/>
      <c r="F60" s="1"/>
      <c r="G60" s="1"/>
      <c r="H60" s="1"/>
      <c r="I60" s="1"/>
      <c r="J60" s="1"/>
    </row>
    <row r="61" spans="2:10">
      <c r="B61" s="3" t="s">
        <v>764</v>
      </c>
      <c r="C61" s="3">
        <v>800000</v>
      </c>
      <c r="D61" s="1"/>
      <c r="E61" s="1"/>
      <c r="F61" s="1"/>
      <c r="G61" s="1"/>
      <c r="H61" s="1"/>
      <c r="I61" s="1"/>
      <c r="J61" s="1"/>
    </row>
    <row r="62" spans="2:10">
      <c r="B62" s="3" t="s">
        <v>394</v>
      </c>
      <c r="C62" s="9">
        <v>0.15</v>
      </c>
      <c r="D62" s="1"/>
      <c r="E62" s="1"/>
      <c r="F62" s="1"/>
      <c r="G62" s="1"/>
      <c r="H62" s="1"/>
      <c r="I62" s="1"/>
      <c r="J62" s="1"/>
    </row>
    <row r="63" spans="2:10">
      <c r="B63" s="3" t="s">
        <v>756</v>
      </c>
      <c r="C63" s="9">
        <v>0.1</v>
      </c>
      <c r="D63" s="35" t="s">
        <v>875</v>
      </c>
      <c r="E63" s="1"/>
      <c r="F63" s="1"/>
      <c r="G63" s="1"/>
      <c r="H63" s="1"/>
      <c r="I63" s="1"/>
      <c r="J63" s="1"/>
    </row>
    <row r="64" spans="2:10">
      <c r="B64" s="3" t="s">
        <v>7</v>
      </c>
      <c r="C64" s="3"/>
      <c r="D64" s="1"/>
      <c r="E64" s="1"/>
      <c r="F64" s="1"/>
      <c r="G64" s="1"/>
      <c r="H64" s="1"/>
      <c r="I64" s="1"/>
      <c r="J64" s="1"/>
    </row>
    <row r="65" spans="2:10">
      <c r="B65" s="3" t="s">
        <v>757</v>
      </c>
      <c r="C65" s="3">
        <f>C58*(1-C59)</f>
        <v>1350000</v>
      </c>
      <c r="D65" s="1"/>
      <c r="E65" s="1"/>
      <c r="F65" s="1"/>
      <c r="G65" s="1"/>
      <c r="H65" s="1"/>
      <c r="I65" s="1"/>
      <c r="J65" s="1"/>
    </row>
    <row r="66" spans="2:10">
      <c r="B66" s="3" t="s">
        <v>763</v>
      </c>
      <c r="C66" s="3">
        <f>C58*C60</f>
        <v>225000</v>
      </c>
      <c r="D66" s="1"/>
      <c r="E66" s="1"/>
      <c r="F66" s="1"/>
      <c r="G66" s="1"/>
      <c r="H66" s="1"/>
      <c r="I66" s="1"/>
      <c r="J66" s="1"/>
    </row>
    <row r="67" spans="2:10">
      <c r="B67" s="3" t="s">
        <v>758</v>
      </c>
      <c r="C67" s="3">
        <f>C65-C66-C61</f>
        <v>325000</v>
      </c>
      <c r="D67" s="1"/>
      <c r="E67" s="1"/>
      <c r="F67" s="1"/>
      <c r="G67" s="1"/>
      <c r="H67" s="1"/>
      <c r="I67" s="1"/>
      <c r="J67" s="1"/>
    </row>
    <row r="68" spans="2:10">
      <c r="B68" s="3" t="s">
        <v>13</v>
      </c>
      <c r="C68" s="15">
        <f>C67/C62</f>
        <v>2166666.666666667</v>
      </c>
      <c r="D68" s="1"/>
      <c r="E68" s="1"/>
      <c r="F68" s="1"/>
      <c r="G68" s="1"/>
      <c r="H68" s="1"/>
      <c r="I68" s="1"/>
      <c r="J68" s="1"/>
    </row>
    <row r="69" spans="2:10">
      <c r="B69" s="1"/>
      <c r="C69" s="1"/>
      <c r="D69" s="1"/>
      <c r="E69" s="1"/>
      <c r="F69" s="1"/>
      <c r="G69" s="1"/>
      <c r="H69" s="1"/>
      <c r="I69" s="1"/>
      <c r="J69" s="1"/>
    </row>
    <row r="70" spans="2:10">
      <c r="B70" s="1"/>
      <c r="C70" s="1"/>
      <c r="D70" s="1"/>
      <c r="E70" s="1"/>
      <c r="F70" s="1"/>
      <c r="G70" s="1"/>
      <c r="H70" s="1"/>
      <c r="I70" s="1"/>
      <c r="J70" s="1"/>
    </row>
    <row r="71" spans="2:10">
      <c r="B71" s="1"/>
      <c r="C71" s="1"/>
      <c r="D71" s="1"/>
      <c r="E71" s="1"/>
      <c r="F71" s="1"/>
      <c r="G71" s="1"/>
      <c r="H71" s="1"/>
      <c r="I71" s="1"/>
      <c r="J71" s="1"/>
    </row>
    <row r="72" spans="2:10">
      <c r="B72" s="1"/>
      <c r="C72" s="1"/>
      <c r="D72" s="1"/>
      <c r="E72" s="1"/>
      <c r="F72" s="1"/>
      <c r="G72" s="1"/>
      <c r="H72" s="1"/>
      <c r="I72" s="1"/>
      <c r="J72" s="1"/>
    </row>
    <row r="73" spans="2:10">
      <c r="B73" s="1"/>
      <c r="C73" s="1"/>
      <c r="D73" s="1"/>
      <c r="E73" s="1"/>
      <c r="F73" s="1"/>
      <c r="G73" s="1"/>
      <c r="H73" s="1"/>
      <c r="I73" s="1"/>
      <c r="J73" s="1"/>
    </row>
    <row r="74" spans="2:10">
      <c r="B74" s="1"/>
      <c r="C74" s="1"/>
      <c r="D74" s="1"/>
      <c r="E74" s="1"/>
      <c r="F74" s="1"/>
      <c r="G74" s="1"/>
      <c r="H74" s="1"/>
      <c r="I74" s="1"/>
      <c r="J74" s="1"/>
    </row>
    <row r="75" spans="2:10" ht="19.5" thickBot="1">
      <c r="B75" s="1"/>
      <c r="C75" s="1"/>
      <c r="D75" s="1"/>
      <c r="E75" s="1"/>
      <c r="F75" s="1"/>
      <c r="G75" s="1"/>
      <c r="H75" s="1"/>
      <c r="I75" s="1"/>
      <c r="J75" s="1"/>
    </row>
    <row r="76" spans="2:10" ht="132" customHeight="1" thickBot="1">
      <c r="B76" s="226" t="s">
        <v>1155</v>
      </c>
      <c r="C76" s="227"/>
      <c r="D76" s="227"/>
      <c r="E76" s="227"/>
      <c r="F76" s="227"/>
      <c r="G76" s="227"/>
      <c r="H76" s="227"/>
      <c r="I76" s="228"/>
      <c r="J76" s="1"/>
    </row>
    <row r="77" spans="2:10">
      <c r="B77" s="1"/>
      <c r="C77" s="1"/>
      <c r="D77" s="1"/>
      <c r="E77" s="1"/>
      <c r="F77" s="1"/>
      <c r="G77" s="1"/>
      <c r="H77" s="1"/>
      <c r="I77" s="1"/>
      <c r="J77" s="1"/>
    </row>
    <row r="78" spans="2:10">
      <c r="B78" s="1"/>
      <c r="C78" s="1"/>
      <c r="D78" s="1"/>
      <c r="E78" s="1"/>
      <c r="F78" s="1"/>
      <c r="G78" s="1"/>
      <c r="H78" s="1"/>
      <c r="I78" s="1"/>
      <c r="J78" s="1"/>
    </row>
    <row r="79" spans="2:10">
      <c r="B79" s="3" t="s">
        <v>753</v>
      </c>
      <c r="C79" s="3">
        <v>160000</v>
      </c>
      <c r="D79" s="1"/>
      <c r="E79" s="1"/>
      <c r="F79" s="1"/>
      <c r="G79" s="1"/>
      <c r="H79" s="1"/>
      <c r="I79" s="1"/>
      <c r="J79" s="1"/>
    </row>
    <row r="80" spans="2:10">
      <c r="B80" s="3" t="s">
        <v>759</v>
      </c>
      <c r="C80" s="9">
        <v>0.15</v>
      </c>
      <c r="D80" s="1"/>
      <c r="E80" s="1"/>
      <c r="F80" s="1"/>
      <c r="G80" s="1"/>
      <c r="H80" s="1"/>
      <c r="I80" s="1"/>
      <c r="J80" s="1"/>
    </row>
    <row r="81" spans="2:10">
      <c r="B81" s="3" t="s">
        <v>755</v>
      </c>
      <c r="C81" s="9">
        <v>0.15</v>
      </c>
      <c r="D81" s="1"/>
      <c r="E81" s="1"/>
      <c r="F81" s="1"/>
      <c r="G81" s="1"/>
      <c r="H81" s="1"/>
      <c r="I81" s="1"/>
      <c r="J81" s="1"/>
    </row>
    <row r="82" spans="2:10">
      <c r="B82" s="3" t="s">
        <v>88</v>
      </c>
      <c r="C82" s="9">
        <v>0.2</v>
      </c>
      <c r="D82" s="1"/>
      <c r="E82" s="1"/>
      <c r="F82" s="1"/>
      <c r="G82" s="1"/>
      <c r="H82" s="1"/>
      <c r="I82" s="1"/>
      <c r="J82" s="1"/>
    </row>
    <row r="83" spans="2:10">
      <c r="B83" s="3" t="s">
        <v>6</v>
      </c>
      <c r="C83" s="37">
        <v>25</v>
      </c>
      <c r="D83" s="35" t="s">
        <v>76</v>
      </c>
      <c r="E83" s="1"/>
      <c r="F83" s="1"/>
      <c r="G83" s="1"/>
      <c r="H83" s="1"/>
      <c r="I83" s="1"/>
      <c r="J83" s="1"/>
    </row>
    <row r="84" spans="2:10">
      <c r="B84" s="3" t="s">
        <v>38</v>
      </c>
      <c r="C84" s="37">
        <v>10</v>
      </c>
      <c r="D84" s="35" t="s">
        <v>76</v>
      </c>
      <c r="E84" s="1"/>
      <c r="F84" s="1"/>
      <c r="G84" s="1"/>
      <c r="H84" s="1"/>
      <c r="I84" s="1"/>
      <c r="J84" s="1"/>
    </row>
    <row r="85" spans="2:10">
      <c r="B85" s="3" t="s">
        <v>54</v>
      </c>
      <c r="C85" s="37">
        <v>20</v>
      </c>
      <c r="D85" s="1"/>
      <c r="E85" s="1"/>
      <c r="F85" s="1"/>
      <c r="G85" s="1"/>
      <c r="H85" s="1"/>
      <c r="I85" s="1"/>
      <c r="J85" s="1"/>
    </row>
    <row r="86" spans="2:10">
      <c r="B86" s="3" t="s">
        <v>765</v>
      </c>
      <c r="C86" s="3"/>
      <c r="D86" s="1"/>
      <c r="E86" s="1"/>
      <c r="F86" s="1"/>
      <c r="G86" s="1"/>
      <c r="H86" s="1"/>
      <c r="I86" s="1"/>
      <c r="J86" s="1"/>
    </row>
    <row r="87" spans="2:10">
      <c r="B87" s="6" t="s">
        <v>7</v>
      </c>
      <c r="C87" s="3"/>
      <c r="D87" s="1"/>
      <c r="E87" s="1"/>
      <c r="F87" s="1"/>
      <c r="G87" s="1"/>
      <c r="H87" s="1"/>
      <c r="I87" s="1"/>
      <c r="J87" s="1"/>
    </row>
    <row r="88" spans="2:10">
      <c r="B88" s="3" t="s">
        <v>757</v>
      </c>
      <c r="C88" s="3">
        <f>C79*(1-C80)</f>
        <v>136000</v>
      </c>
      <c r="D88" s="1"/>
      <c r="E88" s="1"/>
      <c r="F88" s="1"/>
      <c r="G88" s="1"/>
      <c r="H88" s="1"/>
      <c r="I88" s="1"/>
      <c r="J88" s="1"/>
    </row>
    <row r="89" spans="2:10">
      <c r="B89" s="3" t="s">
        <v>755</v>
      </c>
      <c r="C89" s="3">
        <f>C79*C81</f>
        <v>24000</v>
      </c>
      <c r="D89" s="1"/>
      <c r="E89" s="1"/>
      <c r="F89" s="1"/>
      <c r="G89" s="1"/>
      <c r="H89" s="1"/>
      <c r="I89" s="1"/>
      <c r="J89" s="1"/>
    </row>
    <row r="90" spans="2:10">
      <c r="B90" s="3" t="s">
        <v>758</v>
      </c>
      <c r="C90" s="3">
        <f>C88-C89</f>
        <v>112000</v>
      </c>
      <c r="D90" s="1"/>
      <c r="E90" s="1"/>
      <c r="F90" s="1"/>
      <c r="G90" s="1"/>
      <c r="H90" s="1"/>
      <c r="I90" s="1"/>
      <c r="J90" s="1"/>
    </row>
    <row r="91" spans="2:10">
      <c r="B91" s="3" t="s">
        <v>761</v>
      </c>
      <c r="C91" s="9">
        <f>1/C85</f>
        <v>0.05</v>
      </c>
      <c r="D91" s="1"/>
      <c r="E91" s="1"/>
      <c r="F91" s="1"/>
      <c r="G91" s="1"/>
      <c r="H91" s="1"/>
      <c r="I91" s="1"/>
      <c r="J91" s="1"/>
    </row>
    <row r="92" spans="2:10">
      <c r="B92" s="3" t="s">
        <v>394</v>
      </c>
      <c r="C92" s="9">
        <f>C82+C91</f>
        <v>0.25</v>
      </c>
      <c r="D92" s="1"/>
      <c r="E92" s="1"/>
      <c r="F92" s="1"/>
      <c r="G92" s="1"/>
      <c r="H92" s="1"/>
      <c r="I92" s="1"/>
      <c r="J92" s="1"/>
    </row>
    <row r="93" spans="2:10">
      <c r="B93" s="3" t="s">
        <v>766</v>
      </c>
      <c r="C93" s="3">
        <f>C90/C92</f>
        <v>448000</v>
      </c>
      <c r="D93" s="24" t="s">
        <v>767</v>
      </c>
      <c r="E93" s="1"/>
      <c r="F93" s="1"/>
      <c r="G93" s="1"/>
      <c r="H93" s="1"/>
      <c r="I93" s="1"/>
      <c r="J93" s="1"/>
    </row>
    <row r="94" spans="2:10">
      <c r="B94" s="3" t="s">
        <v>768</v>
      </c>
      <c r="C94" s="3">
        <f>PV(C82,C85,,-C88)</f>
        <v>3547.4312494240817</v>
      </c>
      <c r="D94" s="24" t="s">
        <v>769</v>
      </c>
      <c r="E94" s="1"/>
      <c r="F94" s="1"/>
      <c r="G94" s="1"/>
      <c r="H94" s="1"/>
      <c r="I94" s="1"/>
      <c r="J94" s="1"/>
    </row>
    <row r="95" spans="2:10">
      <c r="B95" s="3" t="s">
        <v>13</v>
      </c>
      <c r="C95" s="15">
        <f>C93+C94</f>
        <v>451547.43124942406</v>
      </c>
      <c r="D95" s="1"/>
      <c r="E95" s="1"/>
      <c r="F95" s="1"/>
      <c r="G95" s="1"/>
      <c r="H95" s="1"/>
      <c r="I95" s="1"/>
      <c r="J95" s="1"/>
    </row>
    <row r="96" spans="2:10">
      <c r="B96" s="1"/>
      <c r="C96" s="1"/>
      <c r="D96" s="1"/>
      <c r="E96" s="1"/>
      <c r="F96" s="1"/>
      <c r="G96" s="1"/>
      <c r="H96" s="1"/>
      <c r="I96" s="1"/>
      <c r="J96" s="1"/>
    </row>
    <row r="97" spans="2:10">
      <c r="B97" s="1"/>
      <c r="C97" s="1"/>
      <c r="D97" s="1"/>
      <c r="E97" s="1"/>
      <c r="F97" s="1"/>
      <c r="G97" s="1"/>
      <c r="H97" s="1"/>
      <c r="I97" s="1"/>
      <c r="J97" s="1"/>
    </row>
    <row r="98" spans="2:10">
      <c r="B98" s="78" t="s">
        <v>901</v>
      </c>
      <c r="C98" s="1"/>
      <c r="D98" s="1"/>
      <c r="E98" s="1"/>
      <c r="F98" s="1"/>
      <c r="G98" s="1"/>
      <c r="H98" s="1"/>
      <c r="I98" s="1"/>
      <c r="J98" s="1"/>
    </row>
    <row r="99" spans="2:10">
      <c r="B99" s="78" t="s">
        <v>771</v>
      </c>
      <c r="C99" s="1"/>
      <c r="D99" s="1"/>
      <c r="E99" s="1"/>
      <c r="F99" s="1"/>
      <c r="G99" s="1"/>
      <c r="H99" s="1"/>
      <c r="I99" s="1"/>
      <c r="J99" s="1"/>
    </row>
    <row r="100" spans="2:10">
      <c r="B100" s="78" t="s">
        <v>770</v>
      </c>
      <c r="C100" s="1"/>
      <c r="D100" s="1"/>
      <c r="E100" s="1"/>
      <c r="F100" s="1"/>
      <c r="G100" s="1"/>
      <c r="H100" s="1"/>
      <c r="I100" s="1"/>
      <c r="J100" s="1"/>
    </row>
    <row r="101" spans="2:10">
      <c r="B101" s="1"/>
      <c r="C101" s="1"/>
      <c r="D101" s="1"/>
      <c r="E101" s="1"/>
      <c r="F101" s="1"/>
      <c r="G101" s="1"/>
      <c r="H101" s="1"/>
      <c r="I101" s="1"/>
      <c r="J101" s="1"/>
    </row>
    <row r="102" spans="2:10">
      <c r="B102" s="1"/>
      <c r="C102" s="1"/>
      <c r="D102" s="1"/>
      <c r="E102" s="1"/>
      <c r="F102" s="1"/>
      <c r="G102" s="1"/>
      <c r="H102" s="1"/>
      <c r="I102" s="1"/>
      <c r="J102" s="1"/>
    </row>
    <row r="103" spans="2:10">
      <c r="B103" s="1"/>
      <c r="C103" s="1"/>
      <c r="D103" s="1"/>
      <c r="E103" s="1"/>
      <c r="F103" s="1"/>
      <c r="G103" s="1"/>
      <c r="H103" s="1"/>
      <c r="I103" s="1"/>
      <c r="J103" s="1"/>
    </row>
    <row r="104" spans="2:10">
      <c r="B104" s="1"/>
      <c r="C104" s="1"/>
      <c r="D104" s="1"/>
      <c r="E104" s="1"/>
      <c r="F104" s="1"/>
      <c r="G104" s="1"/>
      <c r="H104" s="1"/>
      <c r="I104" s="1"/>
      <c r="J104" s="1"/>
    </row>
    <row r="105" spans="2:10">
      <c r="B105" s="1"/>
      <c r="C105" s="1"/>
      <c r="D105" s="1"/>
      <c r="E105" s="1"/>
      <c r="F105" s="1"/>
      <c r="G105" s="1"/>
      <c r="H105" s="1"/>
      <c r="I105" s="1"/>
      <c r="J105" s="1"/>
    </row>
    <row r="106" spans="2:10" ht="19.5" thickBot="1">
      <c r="B106" s="1"/>
      <c r="C106" s="1"/>
      <c r="D106" s="1"/>
      <c r="E106" s="1"/>
      <c r="F106" s="1"/>
      <c r="G106" s="1"/>
      <c r="H106" s="1"/>
      <c r="I106" s="1"/>
      <c r="J106" s="1"/>
    </row>
    <row r="107" spans="2:10" ht="18.600000000000001" customHeight="1" thickBot="1">
      <c r="B107" s="226" t="s">
        <v>772</v>
      </c>
      <c r="C107" s="227"/>
      <c r="D107" s="227"/>
      <c r="E107" s="227"/>
      <c r="F107" s="227"/>
      <c r="G107" s="227"/>
      <c r="H107" s="227"/>
      <c r="I107" s="228"/>
      <c r="J107" s="1"/>
    </row>
    <row r="108" spans="2:10">
      <c r="B108" s="1"/>
      <c r="C108" s="1"/>
      <c r="D108" s="1"/>
      <c r="E108" s="1"/>
      <c r="F108" s="1"/>
      <c r="G108" s="1"/>
      <c r="H108" s="1"/>
      <c r="I108" s="1"/>
      <c r="J108" s="1"/>
    </row>
    <row r="109" spans="2:10">
      <c r="B109" s="1"/>
      <c r="C109" s="1"/>
      <c r="D109" s="1"/>
      <c r="E109" s="1"/>
      <c r="F109" s="1"/>
      <c r="G109" s="1"/>
      <c r="H109" s="1"/>
      <c r="I109" s="1"/>
      <c r="J109" s="1"/>
    </row>
    <row r="110" spans="2:10">
      <c r="B110" s="3" t="s">
        <v>394</v>
      </c>
      <c r="C110" s="9">
        <v>0.3</v>
      </c>
      <c r="D110" s="1"/>
      <c r="E110" s="1"/>
      <c r="F110" s="1"/>
      <c r="G110" s="1"/>
      <c r="H110" s="1"/>
      <c r="I110" s="1"/>
      <c r="J110" s="1"/>
    </row>
    <row r="111" spans="2:10">
      <c r="B111" s="3" t="s">
        <v>756</v>
      </c>
      <c r="C111" s="9">
        <v>0.12</v>
      </c>
      <c r="D111" s="24" t="s">
        <v>773</v>
      </c>
      <c r="E111" s="1"/>
      <c r="F111" s="1"/>
      <c r="G111" s="1"/>
      <c r="H111" s="1"/>
      <c r="I111" s="1"/>
      <c r="J111" s="1"/>
    </row>
    <row r="112" spans="2:10">
      <c r="B112" s="6" t="s">
        <v>7</v>
      </c>
      <c r="C112" s="3"/>
      <c r="D112" s="1"/>
      <c r="E112" s="1"/>
      <c r="F112" s="1"/>
      <c r="G112" s="1"/>
      <c r="H112" s="1"/>
      <c r="I112" s="1"/>
      <c r="J112" s="1"/>
    </row>
    <row r="113" spans="2:10">
      <c r="B113" s="3" t="s">
        <v>88</v>
      </c>
      <c r="C113" s="199">
        <f>C110-C111</f>
        <v>0.18</v>
      </c>
      <c r="D113" s="1"/>
      <c r="E113" s="1"/>
      <c r="F113" s="1"/>
      <c r="G113" s="1"/>
      <c r="H113" s="1"/>
      <c r="I113" s="1"/>
      <c r="J113" s="1"/>
    </row>
    <row r="114" spans="2:10">
      <c r="B114" s="1"/>
      <c r="C114" s="1"/>
      <c r="D114" s="1"/>
      <c r="E114" s="1"/>
      <c r="F114" s="1"/>
      <c r="G114" s="1"/>
      <c r="H114" s="1"/>
      <c r="I114" s="1"/>
      <c r="J114" s="1"/>
    </row>
    <row r="115" spans="2:10">
      <c r="B115" s="1"/>
      <c r="C115" s="1"/>
      <c r="D115" s="1"/>
      <c r="E115" s="1"/>
      <c r="F115" s="1"/>
      <c r="G115" s="1"/>
      <c r="H115" s="1"/>
      <c r="I115" s="1"/>
      <c r="J115" s="1"/>
    </row>
    <row r="116" spans="2:10">
      <c r="B116" s="1"/>
      <c r="C116" s="1"/>
      <c r="D116" s="1"/>
      <c r="E116" s="1"/>
      <c r="F116" s="1"/>
      <c r="G116" s="1"/>
      <c r="H116" s="1"/>
      <c r="I116" s="1"/>
      <c r="J116" s="1"/>
    </row>
    <row r="117" spans="2:10">
      <c r="B117" s="1"/>
      <c r="C117" s="1"/>
      <c r="D117" s="1"/>
      <c r="E117" s="1"/>
      <c r="F117" s="1"/>
      <c r="G117" s="1"/>
      <c r="H117" s="1"/>
      <c r="I117" s="1"/>
      <c r="J117" s="1"/>
    </row>
    <row r="118" spans="2:10">
      <c r="B118" s="1"/>
      <c r="C118" s="1"/>
      <c r="D118" s="1"/>
      <c r="E118" s="1"/>
      <c r="F118" s="1"/>
      <c r="G118" s="1"/>
      <c r="H118" s="1"/>
      <c r="I118" s="1"/>
      <c r="J118" s="1"/>
    </row>
    <row r="119" spans="2:10">
      <c r="B119" s="1"/>
      <c r="C119" s="1"/>
      <c r="D119" s="1"/>
      <c r="E119" s="1"/>
      <c r="F119" s="1"/>
      <c r="G119" s="1"/>
      <c r="H119" s="1"/>
      <c r="I119" s="1"/>
      <c r="J119" s="1"/>
    </row>
    <row r="120" spans="2:10" ht="19.5" thickBot="1">
      <c r="B120" s="1"/>
      <c r="C120" s="1"/>
      <c r="D120" s="1"/>
      <c r="E120" s="1"/>
      <c r="F120" s="1"/>
      <c r="G120" s="1"/>
      <c r="H120" s="1"/>
      <c r="I120" s="1"/>
      <c r="J120" s="1"/>
    </row>
    <row r="121" spans="2:10" ht="101.25" customHeight="1" thickBot="1">
      <c r="B121" s="226" t="s">
        <v>1156</v>
      </c>
      <c r="C121" s="227"/>
      <c r="D121" s="227"/>
      <c r="E121" s="227"/>
      <c r="F121" s="227"/>
      <c r="G121" s="227"/>
      <c r="H121" s="227"/>
      <c r="I121" s="228"/>
      <c r="J121" s="1"/>
    </row>
    <row r="122" spans="2:10">
      <c r="B122" s="1"/>
      <c r="C122" s="1"/>
      <c r="D122" s="1"/>
      <c r="E122" s="1"/>
      <c r="F122" s="1"/>
      <c r="G122" s="1"/>
      <c r="H122" s="1"/>
      <c r="I122" s="1"/>
      <c r="J122" s="1"/>
    </row>
    <row r="123" spans="2:10">
      <c r="B123" s="1"/>
      <c r="C123" s="1"/>
      <c r="D123" s="1"/>
      <c r="E123" s="1"/>
      <c r="F123" s="1"/>
      <c r="G123" s="1"/>
      <c r="H123" s="1"/>
      <c r="I123" s="1"/>
      <c r="J123" s="1"/>
    </row>
    <row r="124" spans="2:10">
      <c r="B124" s="3" t="s">
        <v>86</v>
      </c>
      <c r="C124" s="5">
        <v>1</v>
      </c>
      <c r="D124" s="5">
        <v>2</v>
      </c>
      <c r="E124" s="5">
        <v>3</v>
      </c>
      <c r="F124" s="5">
        <v>4</v>
      </c>
      <c r="G124" s="1"/>
      <c r="H124" s="1"/>
      <c r="I124" s="1"/>
      <c r="J124" s="1"/>
    </row>
    <row r="125" spans="2:10">
      <c r="B125" s="3" t="s">
        <v>753</v>
      </c>
      <c r="C125" s="3"/>
      <c r="D125" s="3">
        <f>10000000*1.05</f>
        <v>10500000</v>
      </c>
      <c r="E125" s="3">
        <f>D125*1.05</f>
        <v>11025000</v>
      </c>
      <c r="F125" s="3"/>
      <c r="G125" s="1"/>
      <c r="H125" s="1"/>
      <c r="I125" s="1"/>
      <c r="J125" s="1"/>
    </row>
    <row r="126" spans="2:10">
      <c r="B126" s="3" t="s">
        <v>759</v>
      </c>
      <c r="C126" s="3"/>
      <c r="D126" s="22">
        <v>0.1</v>
      </c>
      <c r="E126" s="22">
        <v>0.1</v>
      </c>
      <c r="F126" s="3"/>
      <c r="G126" s="1"/>
      <c r="H126" s="1"/>
      <c r="I126" s="1"/>
      <c r="J126" s="1"/>
    </row>
    <row r="127" spans="2:10">
      <c r="B127" s="3" t="s">
        <v>757</v>
      </c>
      <c r="C127" s="3"/>
      <c r="D127" s="3">
        <f>D125*(1-D126)</f>
        <v>9450000</v>
      </c>
      <c r="E127" s="3">
        <f>E125*(1-E126)</f>
        <v>9922500</v>
      </c>
      <c r="F127" s="3"/>
      <c r="G127" s="1"/>
      <c r="H127" s="1"/>
      <c r="I127" s="1"/>
      <c r="J127" s="1"/>
    </row>
    <row r="128" spans="2:10">
      <c r="B128" s="3" t="s">
        <v>774</v>
      </c>
      <c r="C128" s="3"/>
      <c r="D128" s="3">
        <f>3000000*1.05</f>
        <v>3150000</v>
      </c>
      <c r="E128" s="3">
        <f>D128*1.05</f>
        <v>3307500</v>
      </c>
      <c r="F128" s="3"/>
      <c r="G128" s="1"/>
      <c r="H128" s="1"/>
      <c r="I128" s="1"/>
      <c r="J128" s="1"/>
    </row>
    <row r="129" spans="2:10">
      <c r="B129" s="3" t="s">
        <v>775</v>
      </c>
      <c r="C129" s="3">
        <v>-200000</v>
      </c>
      <c r="D129" s="3">
        <f>D127-D128</f>
        <v>6300000</v>
      </c>
      <c r="E129" s="3">
        <f>D129*1.05</f>
        <v>6615000</v>
      </c>
      <c r="F129" s="3">
        <f>E129*1.05</f>
        <v>6945750</v>
      </c>
      <c r="G129" s="1"/>
      <c r="H129" s="1"/>
      <c r="I129" s="1"/>
      <c r="J129" s="1"/>
    </row>
    <row r="130" spans="2:10">
      <c r="B130" s="3" t="s">
        <v>88</v>
      </c>
      <c r="C130" s="22">
        <v>0.2</v>
      </c>
      <c r="D130" s="22">
        <v>0.2</v>
      </c>
      <c r="E130" s="22">
        <v>0.2</v>
      </c>
      <c r="F130" s="22">
        <v>0.2</v>
      </c>
      <c r="G130" s="1"/>
      <c r="H130" s="1"/>
      <c r="I130" s="1"/>
      <c r="J130" s="1"/>
    </row>
    <row r="131" spans="2:10">
      <c r="B131" s="3" t="s">
        <v>134</v>
      </c>
      <c r="C131" s="3">
        <f>C129/(1+C130)^(C124-0.5)</f>
        <v>-182574.1858350554</v>
      </c>
      <c r="D131" s="3">
        <f>D129/(1+D130)^(D124-0.5)</f>
        <v>4792572.3781702034</v>
      </c>
      <c r="E131" s="3">
        <f>E129/(1+E130)^(E124-0.5)</f>
        <v>4193500.8308989285</v>
      </c>
      <c r="F131" s="3">
        <f>F129/(1+F130)^(F124-0.5)</f>
        <v>3669313.2270365627</v>
      </c>
      <c r="G131" s="11">
        <f>SUM(C131:F131)</f>
        <v>12472812.250270639</v>
      </c>
      <c r="H131" s="35" t="s">
        <v>776</v>
      </c>
      <c r="I131" s="1"/>
      <c r="J131" s="1"/>
    </row>
    <row r="132" spans="2:10">
      <c r="B132" s="1"/>
      <c r="C132" s="1"/>
      <c r="D132" s="1"/>
      <c r="E132" s="1"/>
      <c r="F132" s="1"/>
      <c r="G132" s="1"/>
      <c r="H132" s="1"/>
      <c r="I132" s="1"/>
      <c r="J132" s="1"/>
    </row>
    <row r="133" spans="2:10">
      <c r="B133" s="1"/>
      <c r="C133" s="1"/>
      <c r="D133" s="1"/>
      <c r="E133" s="1"/>
      <c r="F133" s="1"/>
      <c r="G133" s="1"/>
      <c r="H133" s="1"/>
      <c r="I133" s="1"/>
      <c r="J133" s="1"/>
    </row>
    <row r="134" spans="2:10">
      <c r="B134" s="1"/>
      <c r="C134" s="1"/>
      <c r="D134" s="1"/>
      <c r="E134" s="1"/>
      <c r="F134" s="1"/>
      <c r="G134" s="1"/>
      <c r="H134" s="1"/>
      <c r="I134" s="1"/>
      <c r="J134" s="1"/>
    </row>
    <row r="135" spans="2:10">
      <c r="B135" s="1"/>
      <c r="C135" s="1"/>
      <c r="D135" s="1"/>
      <c r="E135" s="1"/>
      <c r="F135" s="1"/>
      <c r="G135" s="1"/>
      <c r="H135" s="1"/>
      <c r="I135" s="1"/>
      <c r="J135" s="1"/>
    </row>
    <row r="136" spans="2:10">
      <c r="B136" s="1"/>
      <c r="C136" s="1"/>
      <c r="D136" s="1"/>
      <c r="E136" s="1"/>
      <c r="F136" s="1"/>
      <c r="G136" s="1"/>
      <c r="H136" s="1"/>
      <c r="I136" s="1"/>
      <c r="J136" s="1"/>
    </row>
    <row r="137" spans="2:10">
      <c r="B137" s="1"/>
      <c r="C137" s="1"/>
      <c r="D137" s="1"/>
      <c r="E137" s="1"/>
      <c r="F137" s="1"/>
      <c r="G137" s="1"/>
      <c r="H137" s="1"/>
      <c r="I137" s="1"/>
      <c r="J137" s="1"/>
    </row>
    <row r="138" spans="2:10" ht="19.5" thickBot="1">
      <c r="B138" s="1"/>
      <c r="C138" s="1"/>
      <c r="D138" s="1"/>
      <c r="E138" s="1"/>
      <c r="F138" s="1"/>
      <c r="G138" s="1"/>
      <c r="H138" s="1"/>
      <c r="I138" s="1"/>
      <c r="J138" s="1"/>
    </row>
    <row r="139" spans="2:10" ht="190.5" customHeight="1" thickBot="1">
      <c r="B139" s="226" t="s">
        <v>1157</v>
      </c>
      <c r="C139" s="227"/>
      <c r="D139" s="227"/>
      <c r="E139" s="227"/>
      <c r="F139" s="227"/>
      <c r="G139" s="227"/>
      <c r="H139" s="227"/>
      <c r="I139" s="228"/>
      <c r="J139" s="1"/>
    </row>
    <row r="140" spans="2:10">
      <c r="B140" s="1"/>
      <c r="C140" s="1"/>
      <c r="D140" s="1"/>
      <c r="E140" s="1"/>
      <c r="F140" s="1"/>
      <c r="G140" s="1"/>
      <c r="H140" s="1"/>
      <c r="I140" s="1"/>
      <c r="J140" s="1"/>
    </row>
    <row r="141" spans="2:10">
      <c r="B141" s="1"/>
      <c r="C141" s="1"/>
      <c r="D141" s="1"/>
      <c r="E141" s="1"/>
      <c r="F141" s="29" t="s">
        <v>1158</v>
      </c>
      <c r="G141" s="1"/>
      <c r="H141" s="1"/>
      <c r="I141" s="1"/>
      <c r="J141" s="1"/>
    </row>
    <row r="142" spans="2:10">
      <c r="B142" s="3" t="s">
        <v>86</v>
      </c>
      <c r="C142" s="5">
        <v>1</v>
      </c>
      <c r="D142" s="5">
        <v>2</v>
      </c>
      <c r="E142" s="5">
        <v>3</v>
      </c>
      <c r="F142" s="5">
        <v>3</v>
      </c>
      <c r="G142" s="1"/>
      <c r="H142" s="1"/>
      <c r="I142" s="1"/>
      <c r="J142" s="1"/>
    </row>
    <row r="143" spans="2:10">
      <c r="B143" s="3" t="s">
        <v>777</v>
      </c>
      <c r="C143" s="5">
        <v>4000</v>
      </c>
      <c r="D143" s="5">
        <v>4000</v>
      </c>
      <c r="E143" s="5">
        <v>4000</v>
      </c>
      <c r="F143" s="3"/>
      <c r="G143" s="1"/>
      <c r="H143" s="1"/>
      <c r="I143" s="1"/>
      <c r="J143" s="1"/>
    </row>
    <row r="144" spans="2:10">
      <c r="B144" s="3" t="s">
        <v>778</v>
      </c>
      <c r="C144" s="4">
        <v>1000</v>
      </c>
      <c r="D144" s="102">
        <f>C144*1.05</f>
        <v>1050</v>
      </c>
      <c r="E144" s="3"/>
      <c r="F144" s="3"/>
      <c r="G144" s="1"/>
      <c r="H144" s="1"/>
      <c r="I144" s="1"/>
      <c r="J144" s="1"/>
    </row>
    <row r="145" spans="2:10">
      <c r="B145" s="3" t="s">
        <v>780</v>
      </c>
      <c r="C145" s="4">
        <f>C143*C144</f>
        <v>4000000</v>
      </c>
      <c r="D145" s="4">
        <f>D143*D144</f>
        <v>4200000</v>
      </c>
      <c r="E145" s="3"/>
      <c r="F145" s="3"/>
      <c r="G145" s="1"/>
      <c r="H145" s="1"/>
      <c r="I145" s="1"/>
      <c r="J145" s="1"/>
    </row>
    <row r="146" spans="2:10">
      <c r="B146" s="3" t="s">
        <v>779</v>
      </c>
      <c r="C146" s="4">
        <v>500</v>
      </c>
      <c r="D146" s="102">
        <f>C146*1.05</f>
        <v>525</v>
      </c>
      <c r="E146" s="3"/>
      <c r="F146" s="3"/>
      <c r="G146" s="1"/>
      <c r="H146" s="1"/>
      <c r="I146" s="1"/>
      <c r="J146" s="1"/>
    </row>
    <row r="147" spans="2:10">
      <c r="B147" s="3" t="s">
        <v>781</v>
      </c>
      <c r="C147" s="4">
        <f>C143*C146</f>
        <v>2000000</v>
      </c>
      <c r="D147" s="4">
        <f>D143*D146</f>
        <v>2100000</v>
      </c>
      <c r="E147" s="3"/>
      <c r="F147" s="3"/>
      <c r="G147" s="1"/>
      <c r="H147" s="1"/>
      <c r="I147" s="1"/>
      <c r="J147" s="1"/>
    </row>
    <row r="148" spans="2:10">
      <c r="B148" s="3" t="s">
        <v>782</v>
      </c>
      <c r="C148" s="4">
        <v>1500000</v>
      </c>
      <c r="D148" s="102">
        <f>C148*1.05</f>
        <v>1575000</v>
      </c>
      <c r="E148" s="3"/>
      <c r="F148" s="3"/>
      <c r="G148" s="1"/>
      <c r="H148" s="1"/>
      <c r="I148" s="1"/>
      <c r="J148" s="1"/>
    </row>
    <row r="149" spans="2:10">
      <c r="B149" s="3" t="s">
        <v>783</v>
      </c>
      <c r="C149" s="4">
        <f>C145-C147-C148</f>
        <v>500000</v>
      </c>
      <c r="D149" s="4">
        <f>D145-D147-D148</f>
        <v>525000</v>
      </c>
      <c r="E149" s="101">
        <f>D149*1.05</f>
        <v>551250</v>
      </c>
      <c r="F149" s="4">
        <v>343980</v>
      </c>
      <c r="G149" s="1"/>
      <c r="H149" s="1"/>
      <c r="I149" s="1"/>
      <c r="J149" s="1"/>
    </row>
    <row r="150" spans="2:10">
      <c r="B150" s="3" t="s">
        <v>88</v>
      </c>
      <c r="C150" s="22">
        <v>0.15</v>
      </c>
      <c r="D150" s="22">
        <v>0.15</v>
      </c>
      <c r="E150" s="22">
        <v>0.15</v>
      </c>
      <c r="F150" s="22">
        <v>0.15</v>
      </c>
      <c r="G150" s="1"/>
      <c r="H150" s="1"/>
      <c r="I150" s="1"/>
      <c r="J150" s="1"/>
    </row>
    <row r="151" spans="2:10">
      <c r="B151" s="3" t="s">
        <v>134</v>
      </c>
      <c r="C151" s="3">
        <f>C149/(1+C150)^(C142-0.5)</f>
        <v>466252.40412015689</v>
      </c>
      <c r="D151" s="3">
        <f>D149/(1+D150)^(D142-0.5)</f>
        <v>425708.71680536069</v>
      </c>
      <c r="E151" s="3">
        <f>E149/(1+E150)^(E142-0.5)</f>
        <v>388690.56751793803</v>
      </c>
      <c r="F151" s="101">
        <f>F149/(1+F150)^(F142)</f>
        <v>226172.43363195535</v>
      </c>
      <c r="G151" s="11">
        <f>SUM(C151:F151)</f>
        <v>1506824.122075411</v>
      </c>
      <c r="H151" s="1"/>
      <c r="I151" s="1"/>
      <c r="J151" s="1"/>
    </row>
    <row r="152" spans="2:10">
      <c r="B152" s="1"/>
      <c r="C152" s="1"/>
      <c r="D152" s="1"/>
      <c r="E152" s="1"/>
      <c r="F152" s="1"/>
      <c r="G152" s="1"/>
      <c r="H152" s="1"/>
      <c r="I152" s="1"/>
      <c r="J152" s="1"/>
    </row>
    <row r="153" spans="2:10">
      <c r="B153" s="1"/>
      <c r="C153" s="1"/>
      <c r="D153" s="1"/>
      <c r="E153" s="1"/>
      <c r="F153" s="1"/>
      <c r="G153" s="1"/>
      <c r="H153" s="1"/>
      <c r="I153" s="1"/>
      <c r="J153" s="1"/>
    </row>
    <row r="154" spans="2:10">
      <c r="B154" s="1"/>
      <c r="C154" s="1"/>
      <c r="D154" s="1"/>
      <c r="E154" s="1"/>
      <c r="F154" s="1"/>
      <c r="G154" s="1"/>
      <c r="H154" s="1"/>
      <c r="I154" s="1"/>
      <c r="J154" s="1"/>
    </row>
    <row r="155" spans="2:10">
      <c r="B155" s="1"/>
      <c r="C155" s="1"/>
      <c r="D155" s="1"/>
      <c r="E155" s="1"/>
      <c r="F155" s="1"/>
      <c r="G155" s="1"/>
      <c r="H155" s="1"/>
      <c r="I155" s="1"/>
      <c r="J155" s="1"/>
    </row>
    <row r="156" spans="2:10">
      <c r="B156" s="1"/>
      <c r="C156" s="1"/>
      <c r="D156" s="1"/>
      <c r="E156" s="1"/>
      <c r="F156" s="1"/>
      <c r="G156" s="1"/>
      <c r="H156" s="1"/>
      <c r="I156" s="1"/>
      <c r="J156" s="1"/>
    </row>
    <row r="157" spans="2:10">
      <c r="B157" s="1"/>
      <c r="C157" s="1"/>
      <c r="D157" s="1"/>
      <c r="E157" s="1"/>
      <c r="F157" s="1"/>
      <c r="G157" s="1"/>
      <c r="H157" s="1"/>
      <c r="I157" s="1"/>
      <c r="J157" s="1"/>
    </row>
    <row r="158" spans="2:10" ht="19.5" thickBot="1">
      <c r="B158" s="1"/>
      <c r="C158" s="1"/>
      <c r="D158" s="1"/>
      <c r="E158" s="1"/>
      <c r="F158" s="1"/>
      <c r="G158" s="1"/>
      <c r="H158" s="1"/>
      <c r="I158" s="1"/>
      <c r="J158" s="1"/>
    </row>
    <row r="159" spans="2:10" ht="78" customHeight="1" thickBot="1">
      <c r="B159" s="226" t="s">
        <v>1159</v>
      </c>
      <c r="C159" s="227"/>
      <c r="D159" s="227"/>
      <c r="E159" s="227"/>
      <c r="F159" s="227"/>
      <c r="G159" s="227"/>
      <c r="H159" s="227"/>
      <c r="I159" s="228"/>
      <c r="J159" s="1"/>
    </row>
    <row r="160" spans="2:10">
      <c r="B160" s="1"/>
      <c r="C160" s="1"/>
      <c r="D160" s="1"/>
      <c r="E160" s="1"/>
      <c r="F160" s="1"/>
      <c r="G160" s="1"/>
      <c r="H160" s="1"/>
      <c r="I160" s="1"/>
      <c r="J160" s="1"/>
    </row>
    <row r="161" spans="2:10">
      <c r="B161" s="1"/>
      <c r="C161" s="1"/>
      <c r="D161" s="1"/>
      <c r="E161" s="1"/>
      <c r="F161" s="1"/>
      <c r="G161" s="1"/>
      <c r="H161" s="1"/>
      <c r="I161" s="1"/>
      <c r="J161" s="1"/>
    </row>
    <row r="162" spans="2:10">
      <c r="B162" s="3" t="s">
        <v>86</v>
      </c>
      <c r="C162" s="5">
        <v>1</v>
      </c>
      <c r="D162" s="5">
        <v>2</v>
      </c>
      <c r="E162" s="5">
        <v>3</v>
      </c>
      <c r="F162" s="1"/>
      <c r="G162" s="1"/>
      <c r="H162" s="1"/>
      <c r="I162" s="1"/>
      <c r="J162" s="1"/>
    </row>
    <row r="163" spans="2:10">
      <c r="B163" s="3" t="s">
        <v>753</v>
      </c>
      <c r="C163" s="4">
        <v>100000</v>
      </c>
      <c r="D163" s="4">
        <f>C163*1.05</f>
        <v>105000</v>
      </c>
      <c r="E163" s="4">
        <f>D163*1.05</f>
        <v>110250</v>
      </c>
      <c r="F163" s="1"/>
      <c r="G163" s="1"/>
      <c r="H163" s="1"/>
      <c r="I163" s="1"/>
      <c r="J163" s="1"/>
    </row>
    <row r="164" spans="2:10">
      <c r="B164" s="3" t="s">
        <v>754</v>
      </c>
      <c r="C164" s="22">
        <v>0.85</v>
      </c>
      <c r="D164" s="22">
        <v>0.85</v>
      </c>
      <c r="E164" s="22">
        <v>0.85</v>
      </c>
      <c r="F164" s="1"/>
      <c r="G164" s="1"/>
      <c r="H164" s="1"/>
      <c r="I164" s="1"/>
      <c r="J164" s="1"/>
    </row>
    <row r="165" spans="2:10">
      <c r="B165" s="3" t="s">
        <v>757</v>
      </c>
      <c r="C165" s="4">
        <f>C163*C164</f>
        <v>85000</v>
      </c>
      <c r="D165" s="4">
        <f t="shared" ref="D165:E165" si="0">D163*D164</f>
        <v>89250</v>
      </c>
      <c r="E165" s="4">
        <f t="shared" si="0"/>
        <v>93712.5</v>
      </c>
      <c r="F165" s="1"/>
      <c r="G165" s="1"/>
      <c r="H165" s="1"/>
      <c r="I165" s="1"/>
      <c r="J165" s="1"/>
    </row>
    <row r="166" spans="2:10">
      <c r="B166" s="3" t="s">
        <v>755</v>
      </c>
      <c r="C166" s="22">
        <v>0.2</v>
      </c>
      <c r="D166" s="22">
        <v>0.2</v>
      </c>
      <c r="E166" s="22">
        <v>0.2</v>
      </c>
      <c r="F166" s="1"/>
      <c r="G166" s="1"/>
      <c r="H166" s="1"/>
      <c r="I166" s="1"/>
      <c r="J166" s="1"/>
    </row>
    <row r="167" spans="2:10">
      <c r="B167" s="3" t="s">
        <v>755</v>
      </c>
      <c r="C167" s="4">
        <f>C163*C166</f>
        <v>20000</v>
      </c>
      <c r="D167" s="4">
        <f t="shared" ref="D167:E167" si="1">D163*D166</f>
        <v>21000</v>
      </c>
      <c r="E167" s="4">
        <f t="shared" si="1"/>
        <v>22050</v>
      </c>
      <c r="F167" s="1"/>
      <c r="G167" s="1"/>
      <c r="H167" s="1"/>
      <c r="I167" s="1"/>
      <c r="J167" s="1"/>
    </row>
    <row r="168" spans="2:10">
      <c r="B168" s="3" t="s">
        <v>758</v>
      </c>
      <c r="C168" s="4">
        <f>C165-C167</f>
        <v>65000</v>
      </c>
      <c r="D168" s="4">
        <f t="shared" ref="D168:E168" si="2">D165-D167</f>
        <v>68250</v>
      </c>
      <c r="E168" s="4">
        <f t="shared" si="2"/>
        <v>71662.5</v>
      </c>
      <c r="F168" s="1"/>
      <c r="G168" s="1"/>
      <c r="H168" s="1"/>
      <c r="I168" s="1"/>
      <c r="J168" s="1"/>
    </row>
    <row r="169" spans="2:10">
      <c r="B169" s="3" t="s">
        <v>88</v>
      </c>
      <c r="C169" s="100">
        <v>0.217</v>
      </c>
      <c r="D169" s="100">
        <v>0.217</v>
      </c>
      <c r="E169" s="100">
        <v>0.217</v>
      </c>
      <c r="F169" s="1"/>
      <c r="G169" s="1"/>
      <c r="H169" s="1"/>
      <c r="I169" s="1"/>
      <c r="J169" s="1"/>
    </row>
    <row r="170" spans="2:10">
      <c r="B170" s="3" t="s">
        <v>134</v>
      </c>
      <c r="C170" s="4">
        <f>C168/(1+C169)^(C162-0.5)</f>
        <v>58920.723029344597</v>
      </c>
      <c r="D170" s="4">
        <f t="shared" ref="D170:E170" si="3">D168/(1+D169)^(D162-0.5)</f>
        <v>50835.46358324719</v>
      </c>
      <c r="E170" s="4">
        <f t="shared" si="3"/>
        <v>43859.685096474568</v>
      </c>
      <c r="F170" s="11">
        <f>SUM(C170:E170)</f>
        <v>153615.87170906636</v>
      </c>
      <c r="G170" s="1"/>
      <c r="H170" s="1"/>
      <c r="I170" s="1"/>
      <c r="J170" s="1"/>
    </row>
    <row r="171" spans="2:10">
      <c r="B171" s="1"/>
      <c r="C171" s="29"/>
      <c r="D171" s="29"/>
      <c r="E171" s="29"/>
      <c r="F171" s="1"/>
      <c r="G171" s="1"/>
      <c r="H171" s="1"/>
      <c r="I171" s="1"/>
      <c r="J171" s="1"/>
    </row>
    <row r="172" spans="2:10">
      <c r="B172" s="1"/>
      <c r="C172" s="29"/>
      <c r="D172" s="29"/>
      <c r="E172" s="29"/>
      <c r="F172" s="1"/>
      <c r="G172" s="1"/>
      <c r="H172" s="1"/>
      <c r="I172" s="1"/>
      <c r="J172" s="1"/>
    </row>
    <row r="173" spans="2:10">
      <c r="B173" s="1"/>
      <c r="C173" s="29"/>
      <c r="D173" s="29"/>
      <c r="E173" s="29"/>
      <c r="F173" s="1"/>
      <c r="G173" s="1"/>
      <c r="H173" s="1"/>
      <c r="I173" s="1"/>
      <c r="J173" s="1"/>
    </row>
    <row r="174" spans="2:10">
      <c r="B174" s="1"/>
      <c r="C174" s="1"/>
      <c r="D174" s="1"/>
      <c r="E174" s="1"/>
      <c r="F174" s="1"/>
      <c r="G174" s="1"/>
      <c r="H174" s="1"/>
      <c r="I174" s="1"/>
      <c r="J174" s="1"/>
    </row>
    <row r="175" spans="2:10">
      <c r="B175" s="1"/>
      <c r="C175" s="1"/>
      <c r="D175" s="1"/>
      <c r="E175" s="1"/>
      <c r="F175" s="1"/>
      <c r="G175" s="1"/>
      <c r="H175" s="1"/>
      <c r="I175" s="1"/>
      <c r="J175" s="1"/>
    </row>
    <row r="176" spans="2:10">
      <c r="B176" s="1"/>
      <c r="C176" s="1"/>
      <c r="D176" s="1"/>
      <c r="E176" s="1"/>
      <c r="F176" s="1"/>
      <c r="G176" s="1"/>
      <c r="H176" s="1"/>
      <c r="I176" s="1"/>
      <c r="J176" s="1"/>
    </row>
    <row r="177" spans="2:10" ht="19.5" thickBot="1">
      <c r="B177" s="1"/>
      <c r="C177" s="1"/>
      <c r="D177" s="1"/>
      <c r="E177" s="1"/>
      <c r="F177" s="1"/>
      <c r="G177" s="1"/>
      <c r="H177" s="1"/>
      <c r="I177" s="1"/>
      <c r="J177" s="1"/>
    </row>
    <row r="178" spans="2:10" ht="126.6" customHeight="1" thickBot="1">
      <c r="B178" s="226" t="s">
        <v>1160</v>
      </c>
      <c r="C178" s="227"/>
      <c r="D178" s="227"/>
      <c r="E178" s="227"/>
      <c r="F178" s="227"/>
      <c r="G178" s="227"/>
      <c r="H178" s="227"/>
      <c r="I178" s="228"/>
      <c r="J178" s="1"/>
    </row>
    <row r="179" spans="2:10">
      <c r="B179" s="1"/>
      <c r="C179" s="1"/>
      <c r="D179" s="1"/>
      <c r="E179" s="1"/>
      <c r="F179" s="1"/>
      <c r="G179" s="1"/>
      <c r="H179" s="1"/>
      <c r="I179" s="1"/>
      <c r="J179" s="1"/>
    </row>
    <row r="180" spans="2:10">
      <c r="B180" s="1"/>
      <c r="C180" s="1"/>
      <c r="D180" s="1"/>
      <c r="E180" s="1"/>
      <c r="F180" s="1"/>
      <c r="G180" s="1"/>
      <c r="H180" s="1"/>
      <c r="I180" s="1"/>
      <c r="J180" s="1"/>
    </row>
    <row r="181" spans="2:10">
      <c r="B181" s="35" t="s">
        <v>784</v>
      </c>
      <c r="C181" s="1"/>
      <c r="D181" s="1"/>
      <c r="E181" s="1"/>
      <c r="F181" s="1"/>
      <c r="G181" s="1"/>
      <c r="H181" s="1"/>
      <c r="I181" s="1"/>
      <c r="J181" s="1"/>
    </row>
    <row r="182" spans="2:10">
      <c r="B182" s="1"/>
      <c r="C182" s="1"/>
      <c r="D182" s="1"/>
      <c r="E182" s="1"/>
      <c r="F182" s="1"/>
      <c r="G182" s="1"/>
      <c r="H182" s="1"/>
      <c r="I182" s="1"/>
      <c r="J182" s="1"/>
    </row>
    <row r="183" spans="2:10">
      <c r="B183" s="1"/>
      <c r="C183" s="1"/>
      <c r="D183" s="1"/>
      <c r="E183" s="1"/>
      <c r="F183" s="1"/>
      <c r="G183" s="1"/>
      <c r="H183" s="1"/>
      <c r="I183" s="1"/>
      <c r="J183" s="1"/>
    </row>
    <row r="184" spans="2:10">
      <c r="B184" s="1"/>
      <c r="C184" s="1"/>
      <c r="D184" s="1"/>
      <c r="E184" s="1"/>
      <c r="F184" s="1"/>
      <c r="G184" s="1"/>
      <c r="H184" s="1"/>
      <c r="I184" s="1"/>
      <c r="J184" s="1"/>
    </row>
    <row r="185" spans="2:10">
      <c r="B185" s="1"/>
      <c r="C185" s="1"/>
      <c r="D185" s="1"/>
      <c r="E185" s="1"/>
      <c r="F185" s="1"/>
      <c r="G185" s="1"/>
      <c r="H185" s="1"/>
      <c r="I185" s="1"/>
      <c r="J185" s="1"/>
    </row>
    <row r="186" spans="2:10">
      <c r="B186" s="1"/>
      <c r="C186" s="1"/>
      <c r="D186" s="1"/>
      <c r="E186" s="1"/>
      <c r="F186" s="1"/>
      <c r="G186" s="1"/>
      <c r="H186" s="1"/>
      <c r="I186" s="1"/>
      <c r="J186" s="1"/>
    </row>
    <row r="187" spans="2:10">
      <c r="B187" s="1"/>
      <c r="C187" s="1"/>
      <c r="D187" s="1"/>
      <c r="E187" s="1"/>
      <c r="F187" s="1"/>
      <c r="G187" s="1"/>
      <c r="H187" s="1"/>
      <c r="I187" s="1"/>
      <c r="J187" s="1"/>
    </row>
    <row r="188" spans="2:10" ht="19.5" thickBot="1">
      <c r="B188" s="1"/>
      <c r="C188" s="1"/>
      <c r="D188" s="1"/>
      <c r="E188" s="1"/>
      <c r="F188" s="1"/>
      <c r="G188" s="1"/>
      <c r="H188" s="1"/>
      <c r="I188" s="1"/>
      <c r="J188" s="1"/>
    </row>
    <row r="189" spans="2:10" ht="59.25" customHeight="1" thickBot="1">
      <c r="B189" s="226" t="s">
        <v>785</v>
      </c>
      <c r="C189" s="227"/>
      <c r="D189" s="227"/>
      <c r="E189" s="227"/>
      <c r="F189" s="227"/>
      <c r="G189" s="227"/>
      <c r="H189" s="227"/>
      <c r="I189" s="228"/>
      <c r="J189" s="1"/>
    </row>
    <row r="190" spans="2:10">
      <c r="B190" s="1"/>
      <c r="C190" s="1"/>
      <c r="D190" s="1"/>
      <c r="E190" s="1"/>
      <c r="F190" s="1"/>
      <c r="G190" s="1"/>
      <c r="H190" s="1"/>
      <c r="I190" s="1"/>
      <c r="J190" s="1"/>
    </row>
    <row r="191" spans="2:10">
      <c r="B191" s="1"/>
      <c r="C191" s="1"/>
      <c r="D191" s="1"/>
      <c r="E191" s="1"/>
      <c r="F191" s="1"/>
      <c r="G191" s="1"/>
      <c r="H191" s="1"/>
      <c r="I191" s="1"/>
      <c r="J191" s="1"/>
    </row>
    <row r="192" spans="2:10">
      <c r="B192" s="3" t="s">
        <v>758</v>
      </c>
      <c r="C192" s="3">
        <v>2500</v>
      </c>
      <c r="D192" s="1"/>
      <c r="E192" s="1"/>
      <c r="F192" s="1"/>
      <c r="G192" s="1"/>
      <c r="H192" s="1"/>
      <c r="I192" s="1"/>
      <c r="J192" s="1"/>
    </row>
    <row r="193" spans="2:10">
      <c r="B193" s="3" t="s">
        <v>133</v>
      </c>
      <c r="C193" s="37">
        <v>16</v>
      </c>
      <c r="D193" s="1"/>
      <c r="E193" s="1"/>
      <c r="F193" s="1"/>
      <c r="G193" s="1"/>
      <c r="H193" s="1"/>
      <c r="I193" s="1"/>
      <c r="J193" s="1"/>
    </row>
    <row r="194" spans="2:10">
      <c r="B194" s="3" t="s">
        <v>88</v>
      </c>
      <c r="C194" s="9">
        <v>0.15</v>
      </c>
      <c r="D194" s="1"/>
      <c r="E194" s="1"/>
      <c r="F194" s="1"/>
      <c r="G194" s="1"/>
      <c r="H194" s="1"/>
      <c r="I194" s="1"/>
      <c r="J194" s="1"/>
    </row>
    <row r="195" spans="2:10">
      <c r="B195" s="6" t="s">
        <v>7</v>
      </c>
      <c r="C195" s="3"/>
      <c r="D195" s="1"/>
      <c r="E195" s="1"/>
      <c r="F195" s="1"/>
      <c r="G195" s="1"/>
      <c r="H195" s="1"/>
      <c r="I195" s="1"/>
      <c r="J195" s="1"/>
    </row>
    <row r="196" spans="2:10">
      <c r="B196" s="3" t="s">
        <v>756</v>
      </c>
      <c r="C196" s="7">
        <f>1/C193</f>
        <v>6.25E-2</v>
      </c>
      <c r="D196" s="1"/>
      <c r="E196" s="1"/>
      <c r="F196" s="1"/>
      <c r="G196" s="1"/>
      <c r="H196" s="1"/>
      <c r="I196" s="1"/>
      <c r="J196" s="1"/>
    </row>
    <row r="197" spans="2:10">
      <c r="B197" s="3" t="s">
        <v>394</v>
      </c>
      <c r="C197" s="7">
        <f>C194+C196</f>
        <v>0.21249999999999999</v>
      </c>
      <c r="D197" s="1"/>
      <c r="E197" s="1"/>
      <c r="F197" s="1"/>
      <c r="G197" s="1"/>
      <c r="H197" s="1"/>
      <c r="I197" s="1"/>
      <c r="J197" s="1"/>
    </row>
    <row r="198" spans="2:10">
      <c r="B198" s="3" t="s">
        <v>13</v>
      </c>
      <c r="C198" s="15">
        <f>C192/C197</f>
        <v>11764.705882352942</v>
      </c>
      <c r="D198" s="1"/>
      <c r="E198" s="1"/>
      <c r="F198" s="1"/>
      <c r="G198" s="1"/>
      <c r="H198" s="1"/>
      <c r="I198" s="1"/>
      <c r="J198" s="1"/>
    </row>
    <row r="199" spans="2:10">
      <c r="B199" s="1"/>
      <c r="C199" s="1"/>
      <c r="D199" s="1"/>
      <c r="E199" s="1"/>
      <c r="F199" s="1"/>
      <c r="G199" s="1"/>
      <c r="H199" s="1"/>
      <c r="I199" s="1"/>
      <c r="J199" s="1"/>
    </row>
    <row r="200" spans="2:10">
      <c r="B200" s="1"/>
      <c r="C200" s="1"/>
      <c r="D200" s="1"/>
      <c r="E200" s="1"/>
      <c r="F200" s="1"/>
      <c r="G200" s="1"/>
      <c r="H200" s="1"/>
      <c r="I200" s="1"/>
      <c r="J200" s="1"/>
    </row>
    <row r="201" spans="2:10">
      <c r="B201" s="1"/>
      <c r="C201" s="1"/>
      <c r="D201" s="1"/>
      <c r="E201" s="1"/>
      <c r="F201" s="1"/>
      <c r="G201" s="1"/>
      <c r="H201" s="1"/>
      <c r="I201" s="1"/>
      <c r="J201" s="1"/>
    </row>
    <row r="202" spans="2:10">
      <c r="B202" s="1"/>
      <c r="C202" s="1"/>
      <c r="D202" s="1"/>
      <c r="E202" s="1"/>
      <c r="F202" s="1"/>
      <c r="G202" s="1"/>
      <c r="H202" s="1"/>
      <c r="I202" s="1"/>
      <c r="J202" s="1"/>
    </row>
    <row r="203" spans="2:10">
      <c r="B203" s="1"/>
      <c r="C203" s="1"/>
      <c r="D203" s="1"/>
      <c r="E203" s="1"/>
      <c r="F203" s="1"/>
      <c r="G203" s="1"/>
      <c r="H203" s="1"/>
      <c r="I203" s="1"/>
      <c r="J203" s="1"/>
    </row>
    <row r="204" spans="2:10">
      <c r="B204" s="1"/>
      <c r="C204" s="1"/>
      <c r="D204" s="1"/>
      <c r="E204" s="1"/>
      <c r="F204" s="1"/>
      <c r="G204" s="1"/>
      <c r="H204" s="1"/>
      <c r="I204" s="1"/>
      <c r="J204" s="1"/>
    </row>
    <row r="205" spans="2:10" ht="19.5" thickBot="1">
      <c r="B205" s="1"/>
      <c r="C205" s="1"/>
      <c r="D205" s="1"/>
      <c r="E205" s="1"/>
      <c r="F205" s="1"/>
      <c r="G205" s="1"/>
      <c r="H205" s="1"/>
      <c r="I205" s="1"/>
      <c r="J205" s="1"/>
    </row>
    <row r="206" spans="2:10" ht="96" customHeight="1" thickBot="1">
      <c r="B206" s="226" t="s">
        <v>1161</v>
      </c>
      <c r="C206" s="227"/>
      <c r="D206" s="227"/>
      <c r="E206" s="227"/>
      <c r="F206" s="227"/>
      <c r="G206" s="227"/>
      <c r="H206" s="227"/>
      <c r="I206" s="228"/>
      <c r="J206" s="1"/>
    </row>
    <row r="207" spans="2:10">
      <c r="B207" s="1"/>
      <c r="C207" s="1"/>
      <c r="D207" s="1"/>
      <c r="E207" s="1"/>
      <c r="F207" s="1"/>
      <c r="G207" s="1"/>
      <c r="H207" s="1"/>
      <c r="I207" s="1"/>
      <c r="J207" s="1"/>
    </row>
    <row r="208" spans="2:10">
      <c r="B208" s="1"/>
      <c r="C208" s="1"/>
      <c r="D208" s="1"/>
      <c r="E208" s="1"/>
      <c r="F208" s="1"/>
      <c r="G208" s="1"/>
      <c r="H208" s="1"/>
      <c r="I208" s="1"/>
      <c r="J208" s="1"/>
    </row>
    <row r="209" spans="2:10">
      <c r="B209" s="3" t="s">
        <v>86</v>
      </c>
      <c r="C209" s="5">
        <v>1</v>
      </c>
      <c r="D209" s="5">
        <v>2</v>
      </c>
      <c r="E209" s="5">
        <v>3</v>
      </c>
      <c r="F209" s="5" t="s">
        <v>786</v>
      </c>
      <c r="G209" s="29"/>
      <c r="H209" s="1"/>
      <c r="I209" s="1"/>
      <c r="J209" s="1"/>
    </row>
    <row r="210" spans="2:10">
      <c r="B210" s="3" t="s">
        <v>753</v>
      </c>
      <c r="C210" s="4">
        <v>100000</v>
      </c>
      <c r="D210" s="102">
        <f>C210*1.05</f>
        <v>105000</v>
      </c>
      <c r="E210" s="102">
        <f>D210*1.05</f>
        <v>110250</v>
      </c>
      <c r="F210" s="4"/>
      <c r="G210" s="29"/>
      <c r="H210" s="1"/>
      <c r="I210" s="1"/>
      <c r="J210" s="1"/>
    </row>
    <row r="211" spans="2:10">
      <c r="B211" s="3" t="s">
        <v>754</v>
      </c>
      <c r="C211" s="22">
        <v>0.8</v>
      </c>
      <c r="D211" s="22">
        <v>0.8</v>
      </c>
      <c r="E211" s="22">
        <v>0.8</v>
      </c>
      <c r="F211" s="4"/>
      <c r="G211" s="29"/>
      <c r="H211" s="1"/>
      <c r="I211" s="1"/>
      <c r="J211" s="1"/>
    </row>
    <row r="212" spans="2:10">
      <c r="B212" s="3" t="s">
        <v>757</v>
      </c>
      <c r="C212" s="4">
        <f>C210*C211</f>
        <v>80000</v>
      </c>
      <c r="D212" s="4">
        <f t="shared" ref="D212:E212" si="4">D210*D211</f>
        <v>84000</v>
      </c>
      <c r="E212" s="4">
        <f t="shared" si="4"/>
        <v>88200</v>
      </c>
      <c r="F212" s="4"/>
      <c r="G212" s="29"/>
      <c r="H212" s="1"/>
      <c r="I212" s="1"/>
      <c r="J212" s="1"/>
    </row>
    <row r="213" spans="2:10">
      <c r="B213" s="3" t="s">
        <v>787</v>
      </c>
      <c r="C213" s="22">
        <v>0.15</v>
      </c>
      <c r="D213" s="22">
        <v>0.15</v>
      </c>
      <c r="E213" s="22">
        <v>0.15</v>
      </c>
      <c r="F213" s="4"/>
      <c r="G213" s="29"/>
      <c r="H213" s="1"/>
      <c r="I213" s="1"/>
      <c r="J213" s="1"/>
    </row>
    <row r="214" spans="2:10">
      <c r="B214" s="3" t="s">
        <v>787</v>
      </c>
      <c r="C214" s="4">
        <f>C210*C213</f>
        <v>15000</v>
      </c>
      <c r="D214" s="4">
        <f t="shared" ref="D214:E214" si="5">D210*D213</f>
        <v>15750</v>
      </c>
      <c r="E214" s="4">
        <f t="shared" si="5"/>
        <v>16537.5</v>
      </c>
      <c r="F214" s="4"/>
      <c r="G214" s="29"/>
      <c r="H214" s="1"/>
      <c r="I214" s="1"/>
      <c r="J214" s="1"/>
    </row>
    <row r="215" spans="2:10">
      <c r="B215" s="3" t="s">
        <v>783</v>
      </c>
      <c r="C215" s="4">
        <f>C212-C214</f>
        <v>65000</v>
      </c>
      <c r="D215" s="4">
        <f t="shared" ref="D215:E215" si="6">D212-D214</f>
        <v>68250</v>
      </c>
      <c r="E215" s="4">
        <f t="shared" si="6"/>
        <v>71662.5</v>
      </c>
      <c r="F215" s="4">
        <v>312000</v>
      </c>
      <c r="G215" s="29"/>
      <c r="H215" s="1"/>
      <c r="I215" s="1"/>
      <c r="J215" s="1"/>
    </row>
    <row r="216" spans="2:10">
      <c r="B216" s="3" t="s">
        <v>88</v>
      </c>
      <c r="C216" s="21">
        <f>C223</f>
        <v>0.21666666666666673</v>
      </c>
      <c r="D216" s="21">
        <f>C216</f>
        <v>0.21666666666666673</v>
      </c>
      <c r="E216" s="21">
        <f>D216</f>
        <v>0.21666666666666673</v>
      </c>
      <c r="F216" s="21">
        <f>E216</f>
        <v>0.21666666666666673</v>
      </c>
      <c r="G216" s="29"/>
      <c r="H216" s="1"/>
      <c r="I216" s="1"/>
      <c r="J216" s="1"/>
    </row>
    <row r="217" spans="2:10">
      <c r="B217" s="3" t="s">
        <v>134</v>
      </c>
      <c r="C217" s="4">
        <f>C215/(1+C216)^(C209-0.5)</f>
        <v>58928.793808511189</v>
      </c>
      <c r="D217" s="4">
        <f>D215/(1+D216)^(D209-0.5)</f>
        <v>50856.356300495958</v>
      </c>
      <c r="E217" s="4">
        <f>E215/(1+E216)^(E209-0.5)</f>
        <v>43889.732149743082</v>
      </c>
      <c r="F217" s="102">
        <f>F215/(1+F216)^E209</f>
        <v>173236.64518517183</v>
      </c>
      <c r="G217" s="104">
        <f>SUM(C217:F217)</f>
        <v>326911.52744392201</v>
      </c>
      <c r="H217" s="1"/>
      <c r="I217" s="1"/>
      <c r="J217" s="1"/>
    </row>
    <row r="218" spans="2:10">
      <c r="B218" s="1"/>
      <c r="C218" s="29"/>
      <c r="D218" s="29"/>
      <c r="E218" s="29"/>
      <c r="F218" s="29"/>
      <c r="G218" s="29"/>
      <c r="H218" s="1"/>
      <c r="I218" s="1"/>
      <c r="J218" s="1"/>
    </row>
    <row r="219" spans="2:10">
      <c r="B219" s="1" t="s">
        <v>788</v>
      </c>
      <c r="C219" s="29"/>
      <c r="D219" s="29"/>
      <c r="E219" s="29"/>
      <c r="F219" s="29"/>
      <c r="G219" s="29"/>
      <c r="H219" s="1"/>
      <c r="I219" s="1"/>
      <c r="J219" s="1"/>
    </row>
    <row r="220" spans="2:10">
      <c r="B220" s="1" t="s">
        <v>789</v>
      </c>
      <c r="C220" s="29"/>
      <c r="D220" s="29"/>
      <c r="E220" s="29"/>
      <c r="F220" s="29"/>
      <c r="G220" s="29"/>
      <c r="H220" s="1"/>
      <c r="I220" s="1"/>
      <c r="J220" s="1"/>
    </row>
    <row r="221" spans="2:10">
      <c r="B221" s="1" t="s">
        <v>791</v>
      </c>
      <c r="C221" s="17">
        <v>0.55000000000000004</v>
      </c>
      <c r="D221" s="29"/>
      <c r="E221" s="29"/>
      <c r="F221" s="29"/>
      <c r="G221" s="29"/>
      <c r="H221" s="1"/>
      <c r="I221" s="1"/>
      <c r="J221" s="1"/>
    </row>
    <row r="222" spans="2:10">
      <c r="B222" s="1" t="s">
        <v>790</v>
      </c>
      <c r="C222" s="98">
        <f>1/3</f>
        <v>0.33333333333333331</v>
      </c>
      <c r="D222" s="1"/>
      <c r="E222" s="1"/>
      <c r="F222" s="1"/>
      <c r="G222" s="1"/>
      <c r="H222" s="1"/>
      <c r="I222" s="1"/>
      <c r="J222" s="1"/>
    </row>
    <row r="223" spans="2:10">
      <c r="B223" s="1" t="s">
        <v>88</v>
      </c>
      <c r="C223" s="103">
        <f>C221-C222</f>
        <v>0.21666666666666673</v>
      </c>
      <c r="D223" s="1"/>
      <c r="E223" s="1"/>
      <c r="F223" s="1"/>
      <c r="G223" s="1"/>
      <c r="H223" s="1"/>
      <c r="I223" s="1"/>
      <c r="J223" s="1"/>
    </row>
    <row r="224" spans="2:10">
      <c r="B224" s="1"/>
      <c r="C224" s="1"/>
      <c r="D224" s="1"/>
      <c r="E224" s="1"/>
      <c r="F224" s="1"/>
      <c r="G224" s="1"/>
      <c r="H224" s="1"/>
      <c r="I224" s="1"/>
      <c r="J224" s="1"/>
    </row>
    <row r="225" spans="2:10">
      <c r="B225" s="1"/>
      <c r="C225" s="1"/>
      <c r="D225" s="1"/>
      <c r="E225" s="1"/>
      <c r="F225" s="1"/>
      <c r="G225" s="1"/>
      <c r="H225" s="1"/>
      <c r="I225" s="1"/>
      <c r="J225" s="1"/>
    </row>
    <row r="226" spans="2:10">
      <c r="B226" s="1"/>
      <c r="C226" s="1"/>
      <c r="D226" s="1"/>
      <c r="E226" s="1"/>
      <c r="F226" s="1"/>
      <c r="G226" s="1"/>
      <c r="H226" s="1"/>
      <c r="I226" s="1"/>
      <c r="J226" s="1"/>
    </row>
    <row r="227" spans="2:10">
      <c r="B227" s="1"/>
      <c r="C227" s="1"/>
      <c r="D227" s="1"/>
      <c r="E227" s="1"/>
      <c r="F227" s="1"/>
      <c r="G227" s="1"/>
      <c r="H227" s="1"/>
      <c r="I227" s="1"/>
      <c r="J227" s="1"/>
    </row>
    <row r="228" spans="2:10">
      <c r="B228" s="1"/>
      <c r="C228" s="1"/>
      <c r="D228" s="1"/>
      <c r="E228" s="1"/>
      <c r="F228" s="1"/>
      <c r="G228" s="1"/>
      <c r="H228" s="1"/>
      <c r="I228" s="1"/>
      <c r="J228" s="1"/>
    </row>
    <row r="229" spans="2:10">
      <c r="B229" s="1"/>
      <c r="C229" s="1"/>
      <c r="D229" s="1"/>
      <c r="E229" s="1"/>
      <c r="F229" s="1"/>
      <c r="G229" s="1"/>
      <c r="H229" s="1"/>
      <c r="I229" s="1"/>
      <c r="J229" s="1"/>
    </row>
    <row r="230" spans="2:10" ht="19.5" thickBot="1">
      <c r="B230" s="1"/>
      <c r="C230" s="1"/>
      <c r="D230" s="1"/>
      <c r="E230" s="1"/>
      <c r="F230" s="1"/>
      <c r="G230" s="1"/>
      <c r="H230" s="1"/>
      <c r="I230" s="1"/>
      <c r="J230" s="1"/>
    </row>
    <row r="231" spans="2:10" ht="39.6" customHeight="1" thickBot="1">
      <c r="B231" s="226" t="s">
        <v>1162</v>
      </c>
      <c r="C231" s="227"/>
      <c r="D231" s="227"/>
      <c r="E231" s="227"/>
      <c r="F231" s="227"/>
      <c r="G231" s="227"/>
      <c r="H231" s="227"/>
      <c r="I231" s="228"/>
      <c r="J231" s="1"/>
    </row>
    <row r="232" spans="2:10">
      <c r="B232" s="1"/>
      <c r="C232" s="1"/>
      <c r="D232" s="1"/>
      <c r="E232" s="1"/>
      <c r="F232" s="1"/>
      <c r="G232" s="1"/>
      <c r="H232" s="1"/>
      <c r="I232" s="1"/>
      <c r="J232" s="1"/>
    </row>
    <row r="233" spans="2:10">
      <c r="B233" s="1"/>
      <c r="C233" s="1"/>
      <c r="D233" s="1"/>
      <c r="E233" s="1"/>
      <c r="F233" s="1"/>
      <c r="G233" s="1"/>
      <c r="H233" s="1"/>
      <c r="I233" s="1"/>
      <c r="J233" s="1"/>
    </row>
    <row r="234" spans="2:10">
      <c r="B234" s="3" t="s">
        <v>33</v>
      </c>
      <c r="C234" s="37">
        <v>6</v>
      </c>
      <c r="D234" s="1"/>
      <c r="E234" s="1"/>
      <c r="F234" s="1"/>
      <c r="G234" s="1"/>
      <c r="H234" s="1"/>
      <c r="I234" s="1"/>
      <c r="J234" s="1"/>
    </row>
    <row r="235" spans="2:10">
      <c r="B235" s="3" t="s">
        <v>265</v>
      </c>
      <c r="C235" s="37">
        <v>10</v>
      </c>
      <c r="D235" s="1"/>
      <c r="E235" s="1"/>
      <c r="F235" s="1"/>
      <c r="G235" s="1"/>
      <c r="H235" s="1"/>
      <c r="I235" s="1"/>
      <c r="J235" s="1"/>
    </row>
    <row r="236" spans="2:10">
      <c r="B236" s="3" t="s">
        <v>1111</v>
      </c>
      <c r="C236" s="9">
        <v>0.15</v>
      </c>
      <c r="D236" s="1"/>
      <c r="E236" s="1"/>
      <c r="F236" s="1"/>
      <c r="G236" s="1"/>
      <c r="H236" s="1"/>
      <c r="I236" s="1"/>
      <c r="J236" s="1"/>
    </row>
    <row r="237" spans="2:10">
      <c r="B237" s="3" t="s">
        <v>794</v>
      </c>
      <c r="C237" s="9">
        <v>0.09</v>
      </c>
      <c r="D237" s="35" t="s">
        <v>76</v>
      </c>
      <c r="E237" s="1"/>
      <c r="F237" s="1"/>
      <c r="G237" s="1"/>
      <c r="H237" s="1"/>
      <c r="I237" s="1"/>
      <c r="J237" s="1"/>
    </row>
    <row r="238" spans="2:10">
      <c r="B238" s="6" t="s">
        <v>7</v>
      </c>
      <c r="C238" s="3"/>
      <c r="D238" s="1"/>
      <c r="E238" s="1"/>
      <c r="F238" s="1"/>
      <c r="G238" s="1"/>
      <c r="H238" s="1"/>
      <c r="I238" s="1"/>
      <c r="J238" s="1"/>
    </row>
    <row r="239" spans="2:10">
      <c r="B239" s="3" t="s">
        <v>795</v>
      </c>
      <c r="C239" s="37">
        <f>C235-C234</f>
        <v>4</v>
      </c>
      <c r="D239" s="1"/>
      <c r="E239" s="1"/>
      <c r="F239" s="1"/>
      <c r="G239" s="1"/>
      <c r="H239" s="1"/>
      <c r="I239" s="1"/>
      <c r="J239" s="1"/>
    </row>
    <row r="240" spans="2:10">
      <c r="B240" s="3" t="s">
        <v>756</v>
      </c>
      <c r="C240" s="50">
        <f>PMT(C236,C239,,-1)</f>
        <v>0.20026535159085793</v>
      </c>
      <c r="D240" s="1"/>
      <c r="E240" s="1"/>
      <c r="F240" s="1"/>
      <c r="G240" s="1"/>
      <c r="H240" s="1"/>
      <c r="I240" s="1"/>
      <c r="J240" s="1"/>
    </row>
    <row r="241" spans="2:10">
      <c r="B241" s="1"/>
      <c r="C241" s="1"/>
      <c r="D241" s="1"/>
      <c r="E241" s="1"/>
      <c r="F241" s="1"/>
      <c r="G241" s="1"/>
      <c r="H241" s="1"/>
      <c r="I241" s="1"/>
      <c r="J241" s="1"/>
    </row>
    <row r="242" spans="2:10">
      <c r="B242" s="1"/>
      <c r="C242" s="1"/>
      <c r="D242" s="1"/>
      <c r="E242" s="1"/>
      <c r="F242" s="1"/>
      <c r="G242" s="1"/>
      <c r="H242" s="1"/>
      <c r="I242" s="1"/>
      <c r="J242" s="1"/>
    </row>
    <row r="243" spans="2:10">
      <c r="B243" s="1"/>
      <c r="C243" s="1"/>
      <c r="D243" s="1"/>
      <c r="E243" s="1"/>
      <c r="F243" s="1"/>
      <c r="G243" s="1"/>
      <c r="H243" s="1"/>
      <c r="I243" s="1"/>
      <c r="J243" s="1"/>
    </row>
    <row r="244" spans="2:10">
      <c r="B244" s="1"/>
      <c r="C244" s="1"/>
      <c r="D244" s="1"/>
      <c r="E244" s="1"/>
      <c r="F244" s="1"/>
      <c r="G244" s="1"/>
      <c r="H244" s="1"/>
      <c r="I244" s="1"/>
      <c r="J244" s="1"/>
    </row>
    <row r="245" spans="2:10">
      <c r="B245" s="1"/>
      <c r="C245" s="1"/>
      <c r="D245" s="1"/>
      <c r="E245" s="1"/>
      <c r="F245" s="1"/>
      <c r="G245" s="1"/>
      <c r="H245" s="1"/>
      <c r="I245" s="1"/>
      <c r="J245" s="1"/>
    </row>
    <row r="246" spans="2:10">
      <c r="B246" s="1"/>
      <c r="C246" s="1"/>
      <c r="D246" s="1"/>
      <c r="E246" s="1"/>
      <c r="F246" s="1"/>
      <c r="G246" s="1"/>
      <c r="H246" s="1"/>
      <c r="I246" s="1"/>
      <c r="J246" s="1"/>
    </row>
    <row r="247" spans="2:10" ht="19.5" thickBot="1">
      <c r="B247" s="1"/>
      <c r="C247" s="1"/>
      <c r="D247" s="1"/>
      <c r="E247" s="1"/>
      <c r="F247" s="1"/>
      <c r="G247" s="1"/>
      <c r="H247" s="1"/>
      <c r="I247" s="1"/>
      <c r="J247" s="1"/>
    </row>
    <row r="248" spans="2:10" ht="42" customHeight="1" thickBot="1">
      <c r="B248" s="226" t="s">
        <v>1163</v>
      </c>
      <c r="C248" s="227"/>
      <c r="D248" s="227"/>
      <c r="E248" s="227"/>
      <c r="F248" s="227"/>
      <c r="G248" s="227"/>
      <c r="H248" s="227"/>
      <c r="I248" s="228"/>
      <c r="J248" s="1"/>
    </row>
    <row r="249" spans="2:10">
      <c r="B249" s="1"/>
      <c r="C249" s="1"/>
      <c r="D249" s="1"/>
      <c r="E249" s="1"/>
      <c r="F249" s="1"/>
      <c r="G249" s="1"/>
      <c r="H249" s="1"/>
      <c r="I249" s="1"/>
      <c r="J249" s="1"/>
    </row>
    <row r="250" spans="2:10">
      <c r="B250" s="1"/>
      <c r="C250" s="1"/>
      <c r="D250" s="1"/>
      <c r="E250" s="1"/>
      <c r="F250" s="1"/>
      <c r="G250" s="1"/>
      <c r="H250" s="1"/>
      <c r="I250" s="1"/>
      <c r="J250" s="1"/>
    </row>
    <row r="251" spans="2:10">
      <c r="B251" s="3" t="s">
        <v>33</v>
      </c>
      <c r="C251" s="37">
        <v>6</v>
      </c>
      <c r="D251" s="1"/>
      <c r="E251" s="1"/>
      <c r="F251" s="1"/>
      <c r="G251" s="1"/>
      <c r="H251" s="1"/>
      <c r="I251" s="1"/>
      <c r="J251" s="1"/>
    </row>
    <row r="252" spans="2:10">
      <c r="B252" s="3" t="s">
        <v>792</v>
      </c>
      <c r="C252" s="37">
        <v>10</v>
      </c>
      <c r="D252" s="1"/>
      <c r="E252" s="1"/>
      <c r="F252" s="1"/>
      <c r="G252" s="1"/>
      <c r="H252" s="1"/>
      <c r="I252" s="1"/>
      <c r="J252" s="1"/>
    </row>
    <row r="253" spans="2:10">
      <c r="B253" s="3" t="s">
        <v>793</v>
      </c>
      <c r="C253" s="9">
        <v>0.15</v>
      </c>
      <c r="D253" s="35" t="s">
        <v>76</v>
      </c>
      <c r="E253" s="1"/>
      <c r="F253" s="1"/>
      <c r="G253" s="1"/>
      <c r="H253" s="1"/>
      <c r="I253" s="1"/>
      <c r="J253" s="1"/>
    </row>
    <row r="254" spans="2:10">
      <c r="B254" s="3" t="s">
        <v>794</v>
      </c>
      <c r="C254" s="9">
        <v>0.09</v>
      </c>
      <c r="D254" s="1"/>
      <c r="E254" s="1"/>
      <c r="F254" s="1"/>
      <c r="G254" s="1"/>
      <c r="H254" s="1"/>
      <c r="I254" s="1"/>
      <c r="J254" s="1"/>
    </row>
    <row r="255" spans="2:10">
      <c r="B255" s="6" t="s">
        <v>7</v>
      </c>
      <c r="C255" s="3"/>
      <c r="D255" s="1"/>
      <c r="E255" s="1"/>
      <c r="F255" s="1"/>
      <c r="G255" s="1"/>
      <c r="H255" s="1"/>
      <c r="I255" s="1"/>
      <c r="J255" s="1"/>
    </row>
    <row r="256" spans="2:10">
      <c r="B256" s="3" t="s">
        <v>795</v>
      </c>
      <c r="C256" s="37">
        <f>C252-C251</f>
        <v>4</v>
      </c>
      <c r="D256" s="1"/>
      <c r="E256" s="1"/>
      <c r="F256" s="1"/>
      <c r="G256" s="1"/>
      <c r="H256" s="1"/>
      <c r="I256" s="1"/>
      <c r="J256" s="1"/>
    </row>
    <row r="257" spans="2:10">
      <c r="B257" s="3" t="s">
        <v>756</v>
      </c>
      <c r="C257" s="50">
        <f>PMT(C254,C256,,-1)</f>
        <v>0.21866866209109778</v>
      </c>
      <c r="D257" s="1"/>
      <c r="E257" s="1"/>
      <c r="F257" s="1"/>
      <c r="G257" s="1"/>
      <c r="H257" s="1"/>
      <c r="I257" s="1"/>
      <c r="J257" s="1"/>
    </row>
    <row r="258" spans="2:10">
      <c r="B258" s="1"/>
      <c r="C258" s="1"/>
      <c r="D258" s="1"/>
      <c r="E258" s="1"/>
      <c r="F258" s="1"/>
      <c r="G258" s="1"/>
      <c r="H258" s="1"/>
      <c r="I258" s="1"/>
      <c r="J258" s="1"/>
    </row>
    <row r="259" spans="2:10">
      <c r="B259" s="1"/>
      <c r="C259" s="1"/>
      <c r="D259" s="1"/>
      <c r="E259" s="1"/>
      <c r="F259" s="1"/>
      <c r="G259" s="1"/>
      <c r="H259" s="1"/>
      <c r="I259" s="1"/>
      <c r="J259" s="1"/>
    </row>
    <row r="260" spans="2:10">
      <c r="B260" s="1"/>
      <c r="C260" s="1"/>
      <c r="D260" s="1"/>
      <c r="E260" s="1"/>
      <c r="F260" s="1"/>
      <c r="G260" s="1"/>
      <c r="H260" s="1"/>
      <c r="I260" s="1"/>
      <c r="J260" s="1"/>
    </row>
    <row r="261" spans="2:10">
      <c r="B261" s="1"/>
      <c r="C261" s="1"/>
      <c r="D261" s="1"/>
      <c r="E261" s="1"/>
      <c r="F261" s="1"/>
      <c r="G261" s="1"/>
      <c r="H261" s="1"/>
      <c r="I261" s="1"/>
      <c r="J261" s="1"/>
    </row>
    <row r="262" spans="2:10">
      <c r="B262" s="1"/>
      <c r="C262" s="1"/>
      <c r="D262" s="1"/>
      <c r="E262" s="1"/>
      <c r="F262" s="1"/>
      <c r="G262" s="1"/>
      <c r="H262" s="1"/>
      <c r="I262" s="1"/>
      <c r="J262" s="1"/>
    </row>
    <row r="263" spans="2:10">
      <c r="B263" s="1"/>
      <c r="C263" s="1"/>
      <c r="D263" s="1"/>
      <c r="E263" s="1"/>
      <c r="F263" s="1"/>
      <c r="G263" s="1"/>
      <c r="H263" s="1"/>
      <c r="I263" s="1"/>
      <c r="J263" s="1"/>
    </row>
    <row r="264" spans="2:10" ht="19.5" thickBot="1"/>
    <row r="265" spans="2:10" ht="81" customHeight="1" thickBot="1">
      <c r="B265" s="236" t="s">
        <v>796</v>
      </c>
      <c r="C265" s="237"/>
      <c r="D265" s="237"/>
      <c r="E265" s="237"/>
      <c r="F265" s="237"/>
      <c r="G265" s="237"/>
      <c r="H265" s="237"/>
      <c r="I265" s="238"/>
      <c r="J265" s="1"/>
    </row>
    <row r="268" spans="2:10">
      <c r="B268" s="107" t="s">
        <v>86</v>
      </c>
      <c r="C268" s="108">
        <v>1</v>
      </c>
      <c r="D268" s="108">
        <v>2</v>
      </c>
      <c r="E268" s="108">
        <v>3</v>
      </c>
      <c r="F268" s="108">
        <v>4</v>
      </c>
    </row>
    <row r="269" spans="2:10">
      <c r="B269" s="107" t="s">
        <v>783</v>
      </c>
      <c r="C269" s="4">
        <v>-200000</v>
      </c>
      <c r="D269" s="4">
        <v>200000</v>
      </c>
      <c r="E269" s="4">
        <v>200000</v>
      </c>
      <c r="F269" s="4">
        <v>200000</v>
      </c>
    </row>
    <row r="270" spans="2:10">
      <c r="B270" s="107" t="s">
        <v>88</v>
      </c>
      <c r="C270" s="109">
        <v>0.2</v>
      </c>
      <c r="D270" s="109">
        <v>0.2</v>
      </c>
      <c r="E270" s="109">
        <v>0.2</v>
      </c>
      <c r="F270" s="109">
        <v>0.2</v>
      </c>
    </row>
    <row r="271" spans="2:10">
      <c r="B271" s="107" t="s">
        <v>134</v>
      </c>
      <c r="C271" s="4">
        <f>C269/(1+C270)^(C268-0.5)</f>
        <v>-182574.1858350554</v>
      </c>
      <c r="D271" s="4">
        <f t="shared" ref="D271:F271" si="7">D269/(1+D270)^(D268-0.5)</f>
        <v>152145.15486254613</v>
      </c>
      <c r="E271" s="4">
        <f t="shared" si="7"/>
        <v>126787.6290521218</v>
      </c>
      <c r="F271" s="4">
        <f t="shared" si="7"/>
        <v>105656.35754343483</v>
      </c>
      <c r="G271" s="11">
        <f>SUM(C271:F271)</f>
        <v>202014.95562304737</v>
      </c>
    </row>
    <row r="272" spans="2:10">
      <c r="C272" s="106"/>
      <c r="D272" s="106"/>
      <c r="E272" s="106"/>
      <c r="F272" s="106"/>
    </row>
    <row r="273" spans="2:10">
      <c r="C273" s="106"/>
      <c r="D273" s="106"/>
      <c r="E273" s="106"/>
      <c r="F273" s="106"/>
    </row>
    <row r="274" spans="2:10">
      <c r="C274" s="106"/>
      <c r="D274" s="106"/>
      <c r="E274" s="106"/>
      <c r="F274" s="106"/>
    </row>
    <row r="278" spans="2:10" ht="19.5" thickBot="1"/>
    <row r="279" spans="2:10" ht="58.9" customHeight="1" thickBot="1">
      <c r="B279" s="236" t="s">
        <v>1164</v>
      </c>
      <c r="C279" s="237"/>
      <c r="D279" s="237"/>
      <c r="E279" s="237"/>
      <c r="F279" s="237"/>
      <c r="G279" s="237"/>
      <c r="H279" s="237"/>
      <c r="I279" s="238"/>
      <c r="J279" s="1"/>
    </row>
    <row r="282" spans="2:10">
      <c r="B282" s="107" t="s">
        <v>86</v>
      </c>
      <c r="C282" s="108">
        <v>1</v>
      </c>
      <c r="D282" s="108">
        <v>2</v>
      </c>
      <c r="E282" s="108">
        <v>3</v>
      </c>
    </row>
    <row r="283" spans="2:10">
      <c r="B283" s="107" t="s">
        <v>758</v>
      </c>
      <c r="C283" s="4">
        <v>10000</v>
      </c>
      <c r="D283" s="4">
        <v>11000</v>
      </c>
      <c r="E283" s="4">
        <v>12000</v>
      </c>
    </row>
    <row r="284" spans="2:10">
      <c r="B284" s="107" t="s">
        <v>88</v>
      </c>
      <c r="C284" s="109">
        <v>0.1</v>
      </c>
      <c r="D284" s="109">
        <v>0.1</v>
      </c>
      <c r="E284" s="109">
        <v>0.1</v>
      </c>
    </row>
    <row r="285" spans="2:10">
      <c r="B285" s="107" t="s">
        <v>134</v>
      </c>
      <c r="C285" s="4">
        <f>C283/(1+C284)^C282</f>
        <v>9090.9090909090901</v>
      </c>
      <c r="D285" s="4">
        <f t="shared" ref="D285:E285" si="8">D283/(1+D284)^D282</f>
        <v>9090.9090909090901</v>
      </c>
      <c r="E285" s="4">
        <f t="shared" si="8"/>
        <v>9015.77761081893</v>
      </c>
      <c r="F285" s="11">
        <f>SUM(C285:E285)</f>
        <v>27197.595792637112</v>
      </c>
    </row>
    <row r="286" spans="2:10">
      <c r="C286" s="106"/>
      <c r="D286" s="106"/>
      <c r="E286" s="106"/>
    </row>
    <row r="287" spans="2:10">
      <c r="C287" s="106"/>
      <c r="D287" s="106"/>
      <c r="E287" s="106"/>
    </row>
    <row r="292" spans="2:10" ht="19.5" thickBot="1"/>
    <row r="293" spans="2:10" ht="80.45" customHeight="1" thickBot="1">
      <c r="B293" s="236" t="s">
        <v>1165</v>
      </c>
      <c r="C293" s="237"/>
      <c r="D293" s="237"/>
      <c r="E293" s="237"/>
      <c r="F293" s="237"/>
      <c r="G293" s="237"/>
      <c r="H293" s="237"/>
      <c r="I293" s="238"/>
      <c r="J293" s="1"/>
    </row>
    <row r="296" spans="2:10">
      <c r="B296" s="107" t="s">
        <v>797</v>
      </c>
      <c r="C296" s="3">
        <v>400000</v>
      </c>
      <c r="E296" s="132"/>
    </row>
    <row r="297" spans="2:10">
      <c r="B297" s="107" t="s">
        <v>904</v>
      </c>
      <c r="C297" s="101">
        <v>300000</v>
      </c>
      <c r="E297" s="132" t="s">
        <v>809</v>
      </c>
    </row>
    <row r="298" spans="2:10">
      <c r="B298" s="107" t="s">
        <v>903</v>
      </c>
      <c r="C298" s="101">
        <v>1870</v>
      </c>
      <c r="E298" s="132" t="s">
        <v>804</v>
      </c>
    </row>
    <row r="299" spans="2:10">
      <c r="B299" s="107" t="s">
        <v>799</v>
      </c>
      <c r="C299" s="3">
        <v>2350</v>
      </c>
      <c r="E299" s="132" t="s">
        <v>910</v>
      </c>
    </row>
    <row r="300" spans="2:10">
      <c r="B300" s="107" t="s">
        <v>88</v>
      </c>
      <c r="C300" s="112">
        <v>0.15</v>
      </c>
      <c r="E300" s="132" t="s">
        <v>805</v>
      </c>
    </row>
    <row r="301" spans="2:10">
      <c r="B301" s="107" t="s">
        <v>800</v>
      </c>
      <c r="C301" s="112">
        <v>7.0000000000000007E-2</v>
      </c>
    </row>
    <row r="302" spans="2:10">
      <c r="B302" s="107" t="s">
        <v>20</v>
      </c>
      <c r="C302" s="107">
        <v>9</v>
      </c>
    </row>
    <row r="303" spans="2:10">
      <c r="B303" s="107" t="s">
        <v>6</v>
      </c>
      <c r="C303" s="107">
        <v>15</v>
      </c>
    </row>
    <row r="304" spans="2:10">
      <c r="B304" s="113" t="s">
        <v>7</v>
      </c>
      <c r="C304" s="107"/>
    </row>
    <row r="305" spans="2:10">
      <c r="B305" s="107" t="s">
        <v>902</v>
      </c>
      <c r="C305" s="101">
        <f>C299/1.18</f>
        <v>1991.5254237288136</v>
      </c>
      <c r="D305" s="118" t="s">
        <v>1166</v>
      </c>
    </row>
    <row r="306" spans="2:10">
      <c r="B306" s="107" t="s">
        <v>54</v>
      </c>
      <c r="C306" s="107">
        <f>C303-C302</f>
        <v>6</v>
      </c>
    </row>
    <row r="307" spans="2:10">
      <c r="B307" s="107" t="s">
        <v>801</v>
      </c>
      <c r="C307" s="114">
        <f>PMT(C301,C306,,-1)</f>
        <v>0.13979579975832809</v>
      </c>
      <c r="D307" s="118" t="s">
        <v>802</v>
      </c>
    </row>
    <row r="308" spans="2:10">
      <c r="B308" s="107" t="s">
        <v>394</v>
      </c>
      <c r="C308" s="114">
        <f>C300+C307</f>
        <v>0.28979579975832809</v>
      </c>
    </row>
    <row r="309" spans="2:10">
      <c r="B309" s="133" t="s">
        <v>758</v>
      </c>
      <c r="C309" s="101">
        <f>C296*C308</f>
        <v>115918.31990333124</v>
      </c>
    </row>
    <row r="310" spans="2:10">
      <c r="B310" s="107" t="s">
        <v>806</v>
      </c>
      <c r="C310" s="3">
        <f>C297+C309</f>
        <v>415918.31990333123</v>
      </c>
    </row>
    <row r="311" spans="2:10">
      <c r="B311" s="107" t="s">
        <v>807</v>
      </c>
      <c r="C311" s="3">
        <f>C305-C298</f>
        <v>121.52542372881362</v>
      </c>
    </row>
    <row r="312" spans="2:10">
      <c r="B312" s="107" t="s">
        <v>808</v>
      </c>
      <c r="C312" s="15">
        <f>C310/C311</f>
        <v>3422.4798987861268</v>
      </c>
    </row>
    <row r="319" spans="2:10" ht="19.5" thickBot="1"/>
    <row r="320" spans="2:10" ht="84.75" customHeight="1" thickBot="1">
      <c r="B320" s="236" t="s">
        <v>1167</v>
      </c>
      <c r="C320" s="237"/>
      <c r="D320" s="237"/>
      <c r="E320" s="237"/>
      <c r="F320" s="237"/>
      <c r="G320" s="237"/>
      <c r="H320" s="237"/>
      <c r="I320" s="238"/>
      <c r="J320" s="1"/>
    </row>
    <row r="323" spans="2:5">
      <c r="B323" s="107" t="s">
        <v>797</v>
      </c>
      <c r="C323" s="3">
        <v>400000</v>
      </c>
      <c r="E323" s="132" t="s">
        <v>803</v>
      </c>
    </row>
    <row r="324" spans="2:5">
      <c r="B324" s="107" t="s">
        <v>810</v>
      </c>
      <c r="C324" s="3">
        <v>880</v>
      </c>
      <c r="E324" s="132" t="s">
        <v>811</v>
      </c>
    </row>
    <row r="325" spans="2:5">
      <c r="B325" s="107" t="s">
        <v>798</v>
      </c>
      <c r="C325" s="101">
        <v>1650</v>
      </c>
      <c r="E325" s="111"/>
    </row>
    <row r="326" spans="2:5">
      <c r="B326" s="107" t="s">
        <v>816</v>
      </c>
      <c r="C326" s="3">
        <v>2850</v>
      </c>
      <c r="E326" s="111"/>
    </row>
    <row r="327" spans="2:5">
      <c r="B327" s="107" t="s">
        <v>88</v>
      </c>
      <c r="C327" s="112">
        <v>0.15</v>
      </c>
      <c r="E327" s="111"/>
    </row>
    <row r="328" spans="2:5">
      <c r="B328" s="107" t="s">
        <v>800</v>
      </c>
      <c r="C328" s="112">
        <v>7.0000000000000007E-2</v>
      </c>
    </row>
    <row r="329" spans="2:5">
      <c r="B329" s="107" t="s">
        <v>20</v>
      </c>
      <c r="C329" s="107">
        <v>9</v>
      </c>
    </row>
    <row r="330" spans="2:5">
      <c r="B330" s="107" t="s">
        <v>6</v>
      </c>
      <c r="C330" s="107">
        <v>15</v>
      </c>
    </row>
    <row r="331" spans="2:5">
      <c r="B331" s="113" t="s">
        <v>7</v>
      </c>
      <c r="C331" s="107"/>
    </row>
    <row r="332" spans="2:5">
      <c r="B332" s="107" t="s">
        <v>817</v>
      </c>
      <c r="C332" s="101">
        <f>C326/1.18</f>
        <v>2415.2542372881358</v>
      </c>
      <c r="D332" s="118" t="s">
        <v>1166</v>
      </c>
    </row>
    <row r="333" spans="2:5">
      <c r="B333" s="107" t="s">
        <v>54</v>
      </c>
      <c r="C333" s="107">
        <f>C330-C329</f>
        <v>6</v>
      </c>
    </row>
    <row r="334" spans="2:5">
      <c r="B334" s="107" t="s">
        <v>815</v>
      </c>
      <c r="C334" s="114">
        <f>PMT(C327,C333,,-1)</f>
        <v>0.1142369065673834</v>
      </c>
      <c r="D334" s="118" t="s">
        <v>814</v>
      </c>
    </row>
    <row r="335" spans="2:5">
      <c r="B335" s="107" t="s">
        <v>394</v>
      </c>
      <c r="C335" s="114">
        <f>C327+C334</f>
        <v>0.26423690656738341</v>
      </c>
    </row>
    <row r="336" spans="2:5">
      <c r="B336" s="133" t="s">
        <v>758</v>
      </c>
      <c r="C336" s="101">
        <f>C323*C335</f>
        <v>105694.76262695336</v>
      </c>
    </row>
    <row r="337" spans="2:10">
      <c r="B337" s="133" t="s">
        <v>812</v>
      </c>
      <c r="C337" s="3">
        <f>C332*C324</f>
        <v>2125423.7288135593</v>
      </c>
    </row>
    <row r="338" spans="2:10">
      <c r="B338" s="133" t="s">
        <v>813</v>
      </c>
      <c r="C338" s="3">
        <f>C325*C324</f>
        <v>1452000</v>
      </c>
    </row>
    <row r="339" spans="2:10">
      <c r="B339" s="107" t="s">
        <v>818</v>
      </c>
      <c r="C339" s="15">
        <f>C337-C338-C336</f>
        <v>567728.96618660586</v>
      </c>
    </row>
    <row r="346" spans="2:10" ht="19.5" thickBot="1"/>
    <row r="347" spans="2:10" ht="198.75" customHeight="1" thickBot="1">
      <c r="B347" s="236" t="s">
        <v>1168</v>
      </c>
      <c r="C347" s="237"/>
      <c r="D347" s="237"/>
      <c r="E347" s="237"/>
      <c r="F347" s="237"/>
      <c r="G347" s="237"/>
      <c r="H347" s="237"/>
      <c r="I347" s="238"/>
      <c r="J347" s="1"/>
    </row>
    <row r="349" spans="2:10">
      <c r="B349" s="107"/>
      <c r="C349" s="108">
        <v>2017</v>
      </c>
      <c r="D349" s="108">
        <v>2018</v>
      </c>
      <c r="E349" s="108">
        <v>2019</v>
      </c>
      <c r="F349" s="108">
        <v>2020</v>
      </c>
      <c r="G349" s="108">
        <v>2021</v>
      </c>
      <c r="H349" s="108">
        <v>2022</v>
      </c>
    </row>
    <row r="350" spans="2:10">
      <c r="B350" s="107" t="s">
        <v>832</v>
      </c>
      <c r="C350" s="108">
        <v>1.08</v>
      </c>
      <c r="D350" s="108">
        <v>1.07</v>
      </c>
      <c r="E350" s="108">
        <v>1.06</v>
      </c>
      <c r="F350" s="108">
        <v>1.06</v>
      </c>
      <c r="G350" s="108">
        <v>1.05</v>
      </c>
      <c r="H350" s="108">
        <v>1.04</v>
      </c>
    </row>
    <row r="351" spans="2:10">
      <c r="B351" s="107" t="s">
        <v>833</v>
      </c>
      <c r="C351" s="108">
        <v>1.0900000000000001</v>
      </c>
      <c r="D351" s="108">
        <v>1.05</v>
      </c>
      <c r="E351" s="108">
        <v>1.06</v>
      </c>
      <c r="F351" s="108">
        <v>1.04</v>
      </c>
      <c r="G351" s="108">
        <v>1.05</v>
      </c>
      <c r="H351" s="108">
        <v>1.06</v>
      </c>
    </row>
    <row r="352" spans="2:10">
      <c r="B352" s="107" t="s">
        <v>834</v>
      </c>
      <c r="C352" s="108">
        <v>1.04</v>
      </c>
      <c r="D352" s="108">
        <v>1.05</v>
      </c>
      <c r="E352" s="108">
        <v>1.08</v>
      </c>
      <c r="F352" s="108">
        <v>1.0900000000000001</v>
      </c>
      <c r="G352" s="108">
        <v>1.07</v>
      </c>
      <c r="H352" s="108">
        <v>1.06</v>
      </c>
    </row>
    <row r="355" spans="2:8">
      <c r="B355" s="107" t="s">
        <v>86</v>
      </c>
      <c r="C355" s="108">
        <v>1</v>
      </c>
      <c r="D355" s="108">
        <v>2</v>
      </c>
      <c r="E355" s="108">
        <v>3</v>
      </c>
      <c r="F355" s="108">
        <v>4</v>
      </c>
      <c r="G355" s="108">
        <v>5</v>
      </c>
      <c r="H355" s="108">
        <v>6</v>
      </c>
    </row>
    <row r="356" spans="2:8">
      <c r="B356" s="107" t="s">
        <v>824</v>
      </c>
      <c r="C356" s="115">
        <v>11</v>
      </c>
      <c r="D356" s="115">
        <v>11</v>
      </c>
      <c r="E356" s="115">
        <v>11</v>
      </c>
      <c r="F356" s="115">
        <v>9</v>
      </c>
      <c r="G356" s="115">
        <v>10</v>
      </c>
      <c r="H356" s="115">
        <v>10</v>
      </c>
    </row>
    <row r="357" spans="2:8">
      <c r="B357" s="107" t="s">
        <v>820</v>
      </c>
      <c r="C357" s="108">
        <v>100</v>
      </c>
      <c r="D357" s="108">
        <v>100</v>
      </c>
      <c r="E357" s="108">
        <v>100</v>
      </c>
      <c r="F357" s="108">
        <v>100</v>
      </c>
      <c r="G357" s="108">
        <v>100</v>
      </c>
      <c r="H357" s="108">
        <v>100</v>
      </c>
    </row>
    <row r="358" spans="2:8">
      <c r="B358" s="107" t="s">
        <v>825</v>
      </c>
      <c r="C358" s="108">
        <f>C356*C357</f>
        <v>1100</v>
      </c>
      <c r="D358" s="108">
        <f t="shared" ref="D358:H358" si="9">D356*D357</f>
        <v>1100</v>
      </c>
      <c r="E358" s="108">
        <f t="shared" si="9"/>
        <v>1100</v>
      </c>
      <c r="F358" s="108">
        <f t="shared" si="9"/>
        <v>900</v>
      </c>
      <c r="G358" s="108">
        <f t="shared" si="9"/>
        <v>1000</v>
      </c>
      <c r="H358" s="108">
        <f t="shared" si="9"/>
        <v>1000</v>
      </c>
    </row>
    <row r="359" spans="2:8">
      <c r="B359" s="107" t="s">
        <v>819</v>
      </c>
      <c r="C359" s="4">
        <v>500</v>
      </c>
      <c r="D359" s="4">
        <v>500</v>
      </c>
      <c r="E359" s="4">
        <v>500</v>
      </c>
      <c r="F359" s="4">
        <v>500</v>
      </c>
      <c r="G359" s="4">
        <v>500</v>
      </c>
      <c r="H359" s="4">
        <v>500</v>
      </c>
    </row>
    <row r="360" spans="2:8">
      <c r="B360" s="107" t="s">
        <v>826</v>
      </c>
      <c r="C360" s="115"/>
      <c r="D360" s="108">
        <v>1.07</v>
      </c>
      <c r="E360" s="108">
        <v>1.06</v>
      </c>
      <c r="F360" s="108">
        <v>1.06</v>
      </c>
      <c r="G360" s="108">
        <v>1.05</v>
      </c>
      <c r="H360" s="108">
        <v>1.04</v>
      </c>
    </row>
    <row r="361" spans="2:8">
      <c r="B361" s="107" t="s">
        <v>827</v>
      </c>
      <c r="C361" s="4">
        <f>C359</f>
        <v>500</v>
      </c>
      <c r="D361" s="4">
        <f>D359*D360</f>
        <v>535</v>
      </c>
      <c r="E361" s="4">
        <f>E359*D360*E360</f>
        <v>567.1</v>
      </c>
      <c r="F361" s="4">
        <f>F359*D360*E360*F360</f>
        <v>601.12600000000009</v>
      </c>
      <c r="G361" s="4">
        <f>G359*D360*E360*F360*G360</f>
        <v>631.18230000000017</v>
      </c>
      <c r="H361" s="102">
        <f>H359*D360*E360*F360*G360*H360</f>
        <v>656.42959200000018</v>
      </c>
    </row>
    <row r="362" spans="2:8">
      <c r="B362" s="107" t="s">
        <v>780</v>
      </c>
      <c r="C362" s="4">
        <f t="shared" ref="C362:H362" si="10">C361*C358</f>
        <v>550000</v>
      </c>
      <c r="D362" s="4">
        <f t="shared" si="10"/>
        <v>588500</v>
      </c>
      <c r="E362" s="4">
        <f t="shared" si="10"/>
        <v>623810</v>
      </c>
      <c r="F362" s="4">
        <f t="shared" si="10"/>
        <v>541013.4</v>
      </c>
      <c r="G362" s="4">
        <f t="shared" si="10"/>
        <v>631182.30000000016</v>
      </c>
      <c r="H362" s="4">
        <f t="shared" si="10"/>
        <v>656429.59200000018</v>
      </c>
    </row>
    <row r="363" spans="2:8">
      <c r="B363" s="107" t="s">
        <v>821</v>
      </c>
      <c r="C363" s="108">
        <v>130</v>
      </c>
      <c r="D363" s="108">
        <v>130</v>
      </c>
      <c r="E363" s="108">
        <v>130</v>
      </c>
      <c r="F363" s="108">
        <v>130</v>
      </c>
      <c r="G363" s="108">
        <v>130</v>
      </c>
      <c r="H363" s="108">
        <v>130</v>
      </c>
    </row>
    <row r="364" spans="2:8">
      <c r="B364" s="107" t="s">
        <v>826</v>
      </c>
      <c r="C364" s="115"/>
      <c r="D364" s="108">
        <v>1.05</v>
      </c>
      <c r="E364" s="108">
        <v>1.06</v>
      </c>
      <c r="F364" s="108">
        <v>1.04</v>
      </c>
      <c r="G364" s="108">
        <v>1.05</v>
      </c>
      <c r="H364" s="108">
        <v>1.06</v>
      </c>
    </row>
    <row r="365" spans="2:8">
      <c r="B365" s="107" t="s">
        <v>828</v>
      </c>
      <c r="C365" s="4">
        <f>C363</f>
        <v>130</v>
      </c>
      <c r="D365" s="4">
        <f>D363*D364</f>
        <v>136.5</v>
      </c>
      <c r="E365" s="4">
        <f>D365*E364</f>
        <v>144.69</v>
      </c>
      <c r="F365" s="4">
        <f>E365*F364</f>
        <v>150.4776</v>
      </c>
      <c r="G365" s="4">
        <f>F365*G364</f>
        <v>158.00148000000002</v>
      </c>
      <c r="H365" s="4">
        <f>G365*H364</f>
        <v>167.48156880000002</v>
      </c>
    </row>
    <row r="366" spans="2:8">
      <c r="B366" s="107" t="s">
        <v>822</v>
      </c>
      <c r="C366" s="4">
        <f>C358*C365</f>
        <v>143000</v>
      </c>
      <c r="D366" s="4">
        <f t="shared" ref="D366:H366" si="11">D358*D365</f>
        <v>150150</v>
      </c>
      <c r="E366" s="4">
        <f t="shared" si="11"/>
        <v>159159</v>
      </c>
      <c r="F366" s="4">
        <f t="shared" si="11"/>
        <v>135429.84</v>
      </c>
      <c r="G366" s="4">
        <f t="shared" si="11"/>
        <v>158001.48000000001</v>
      </c>
      <c r="H366" s="4">
        <f t="shared" si="11"/>
        <v>167481.56880000001</v>
      </c>
    </row>
    <row r="367" spans="2:8">
      <c r="B367" s="107" t="s">
        <v>829</v>
      </c>
      <c r="C367" s="102">
        <f>10000*12</f>
        <v>120000</v>
      </c>
      <c r="D367" s="4">
        <f>C367*D364</f>
        <v>126000</v>
      </c>
      <c r="E367" s="4">
        <f>D367*E364</f>
        <v>133560</v>
      </c>
      <c r="F367" s="4">
        <f>E367*F364</f>
        <v>138902.39999999999</v>
      </c>
      <c r="G367" s="4">
        <f>F367*G364</f>
        <v>145847.51999999999</v>
      </c>
      <c r="H367" s="4">
        <f>G367*H364</f>
        <v>154598.37119999999</v>
      </c>
    </row>
    <row r="368" spans="2:8">
      <c r="B368" s="107" t="s">
        <v>830</v>
      </c>
      <c r="C368" s="4"/>
      <c r="D368" s="4">
        <v>1.05</v>
      </c>
      <c r="E368" s="4">
        <v>1.08</v>
      </c>
      <c r="F368" s="4">
        <v>1.0900000000000001</v>
      </c>
      <c r="G368" s="4"/>
      <c r="H368" s="4"/>
    </row>
    <row r="369" spans="2:10">
      <c r="B369" s="107" t="s">
        <v>823</v>
      </c>
      <c r="C369" s="107"/>
      <c r="D369" s="107"/>
      <c r="E369" s="107"/>
      <c r="F369" s="4">
        <f>750000*D368*E368*F368</f>
        <v>927045.00000000012</v>
      </c>
      <c r="G369" s="107"/>
      <c r="H369" s="107"/>
    </row>
    <row r="370" spans="2:10">
      <c r="B370" s="107" t="s">
        <v>783</v>
      </c>
      <c r="C370" s="4">
        <f>C362-C366-C367</f>
        <v>287000</v>
      </c>
      <c r="D370" s="4">
        <f>D362-D366-D367</f>
        <v>312350</v>
      </c>
      <c r="E370" s="4">
        <f>E362-E366-E367</f>
        <v>331091</v>
      </c>
      <c r="F370" s="4">
        <f>F362-F366-F367-F369</f>
        <v>-660363.84000000008</v>
      </c>
      <c r="G370" s="4">
        <f>G362-G366-G367</f>
        <v>327333.30000000016</v>
      </c>
      <c r="H370" s="4">
        <f>H362-H366-H367</f>
        <v>334349.65200000018</v>
      </c>
      <c r="I370" s="1"/>
    </row>
    <row r="371" spans="2:10">
      <c r="B371" s="107" t="s">
        <v>88</v>
      </c>
      <c r="C371" s="109">
        <v>0.2</v>
      </c>
      <c r="D371" s="109">
        <v>0.2</v>
      </c>
      <c r="E371" s="109">
        <v>0.2</v>
      </c>
      <c r="F371" s="109">
        <v>0.2</v>
      </c>
      <c r="G371" s="109">
        <v>0.2</v>
      </c>
      <c r="H371" s="109">
        <v>0.2</v>
      </c>
    </row>
    <row r="372" spans="2:10">
      <c r="B372" s="107" t="s">
        <v>134</v>
      </c>
      <c r="C372" s="4">
        <f t="shared" ref="C372:H372" si="12">C370/(1+C371)^(C355-0.5)</f>
        <v>261993.95667330446</v>
      </c>
      <c r="D372" s="4">
        <f t="shared" si="12"/>
        <v>237612.69560658143</v>
      </c>
      <c r="E372" s="4">
        <f t="shared" si="12"/>
        <v>209891.21445248029</v>
      </c>
      <c r="F372" s="4">
        <f t="shared" si="12"/>
        <v>-348858.189938978</v>
      </c>
      <c r="G372" s="4">
        <f t="shared" si="12"/>
        <v>144103.51741946847</v>
      </c>
      <c r="H372" s="4">
        <f t="shared" si="12"/>
        <v>122660.29991748277</v>
      </c>
      <c r="I372" s="11">
        <f>SUM(C372:H372)</f>
        <v>627403.49413033936</v>
      </c>
    </row>
    <row r="374" spans="2:10">
      <c r="C374" s="110" t="s">
        <v>831</v>
      </c>
    </row>
    <row r="380" spans="2:10" ht="19.5" thickBot="1"/>
    <row r="381" spans="2:10" ht="40.5" customHeight="1" thickBot="1">
      <c r="B381" s="236" t="s">
        <v>835</v>
      </c>
      <c r="C381" s="237"/>
      <c r="D381" s="237"/>
      <c r="E381" s="237"/>
      <c r="F381" s="237"/>
      <c r="G381" s="237"/>
      <c r="H381" s="237"/>
      <c r="I381" s="238"/>
      <c r="J381" s="1"/>
    </row>
    <row r="384" spans="2:10">
      <c r="B384" s="107" t="s">
        <v>38</v>
      </c>
      <c r="C384" s="107">
        <v>8</v>
      </c>
      <c r="D384" s="118" t="s">
        <v>76</v>
      </c>
    </row>
    <row r="385" spans="2:10">
      <c r="B385" s="107" t="s">
        <v>20</v>
      </c>
      <c r="C385" s="107">
        <v>6</v>
      </c>
    </row>
    <row r="386" spans="2:10">
      <c r="B386" s="107" t="s">
        <v>142</v>
      </c>
      <c r="C386" s="107">
        <v>15</v>
      </c>
      <c r="D386" s="118" t="s">
        <v>76</v>
      </c>
    </row>
    <row r="387" spans="2:10">
      <c r="B387" s="107" t="s">
        <v>836</v>
      </c>
      <c r="C387" s="107">
        <v>12</v>
      </c>
    </row>
    <row r="388" spans="2:10">
      <c r="B388" s="107" t="s">
        <v>793</v>
      </c>
      <c r="C388" s="112">
        <v>0.15</v>
      </c>
    </row>
    <row r="389" spans="2:10">
      <c r="B389" s="107" t="s">
        <v>800</v>
      </c>
      <c r="C389" s="112">
        <v>0.09</v>
      </c>
      <c r="D389" s="118" t="s">
        <v>76</v>
      </c>
    </row>
    <row r="390" spans="2:10">
      <c r="B390" s="113" t="s">
        <v>7</v>
      </c>
      <c r="C390" s="107"/>
    </row>
    <row r="391" spans="2:10">
      <c r="B391" s="107" t="s">
        <v>837</v>
      </c>
      <c r="C391" s="107">
        <f>C387-C385</f>
        <v>6</v>
      </c>
      <c r="D391" s="110" t="s">
        <v>838</v>
      </c>
    </row>
    <row r="392" spans="2:10">
      <c r="B392" s="107" t="s">
        <v>756</v>
      </c>
      <c r="C392" s="117">
        <f>PMT(C388,C391,,-1)</f>
        <v>0.1142369065673834</v>
      </c>
      <c r="D392" s="110" t="s">
        <v>839</v>
      </c>
    </row>
    <row r="393" spans="2:10">
      <c r="C393" s="160"/>
    </row>
    <row r="399" spans="2:10" ht="19.5" thickBot="1"/>
    <row r="400" spans="2:10" ht="40.5" customHeight="1" thickBot="1">
      <c r="B400" s="236" t="s">
        <v>840</v>
      </c>
      <c r="C400" s="237"/>
      <c r="D400" s="237"/>
      <c r="E400" s="237"/>
      <c r="F400" s="237"/>
      <c r="G400" s="237"/>
      <c r="H400" s="237"/>
      <c r="I400" s="238"/>
      <c r="J400" s="1"/>
    </row>
    <row r="403" spans="2:4">
      <c r="B403" s="107" t="s">
        <v>38</v>
      </c>
      <c r="C403" s="107">
        <v>8</v>
      </c>
      <c r="D403" s="118" t="s">
        <v>76</v>
      </c>
    </row>
    <row r="404" spans="2:4">
      <c r="B404" s="107" t="s">
        <v>20</v>
      </c>
      <c r="C404" s="107">
        <v>6</v>
      </c>
    </row>
    <row r="405" spans="2:4">
      <c r="B405" s="107" t="s">
        <v>142</v>
      </c>
      <c r="C405" s="107">
        <v>15</v>
      </c>
      <c r="D405" s="118" t="s">
        <v>76</v>
      </c>
    </row>
    <row r="406" spans="2:4">
      <c r="B406" s="107" t="s">
        <v>836</v>
      </c>
      <c r="C406" s="107">
        <v>12</v>
      </c>
    </row>
    <row r="407" spans="2:4">
      <c r="B407" s="107" t="s">
        <v>793</v>
      </c>
      <c r="C407" s="112">
        <v>0.15</v>
      </c>
      <c r="D407" s="118" t="s">
        <v>76</v>
      </c>
    </row>
    <row r="408" spans="2:4">
      <c r="B408" s="107" t="s">
        <v>800</v>
      </c>
      <c r="C408" s="112">
        <v>0.09</v>
      </c>
    </row>
    <row r="409" spans="2:4">
      <c r="B409" s="113" t="s">
        <v>7</v>
      </c>
      <c r="C409" s="107"/>
    </row>
    <row r="410" spans="2:4">
      <c r="B410" s="107" t="s">
        <v>837</v>
      </c>
      <c r="C410" s="107">
        <f>C406-C404</f>
        <v>6</v>
      </c>
      <c r="D410" s="110" t="s">
        <v>838</v>
      </c>
    </row>
    <row r="411" spans="2:4">
      <c r="B411" s="107" t="s">
        <v>756</v>
      </c>
      <c r="C411" s="117">
        <f>PMT(C408,C410,,-1)</f>
        <v>0.13291978329203699</v>
      </c>
      <c r="D411" s="110" t="s">
        <v>841</v>
      </c>
    </row>
    <row r="418" spans="2:10" ht="19.5" thickBot="1"/>
    <row r="419" spans="2:10" ht="198" customHeight="1" thickBot="1">
      <c r="B419" s="236" t="s">
        <v>1170</v>
      </c>
      <c r="C419" s="237"/>
      <c r="D419" s="237"/>
      <c r="E419" s="237"/>
      <c r="F419" s="237"/>
      <c r="G419" s="237"/>
      <c r="H419" s="237"/>
      <c r="I419" s="238"/>
      <c r="J419" s="1"/>
    </row>
    <row r="422" spans="2:10">
      <c r="B422" s="107"/>
      <c r="C422" s="108">
        <v>2017</v>
      </c>
      <c r="D422" s="108">
        <v>2018</v>
      </c>
      <c r="E422" s="108">
        <v>2019</v>
      </c>
      <c r="F422" s="108">
        <v>2020</v>
      </c>
      <c r="G422" s="108">
        <v>2021</v>
      </c>
      <c r="H422" s="108">
        <v>2022</v>
      </c>
    </row>
    <row r="423" spans="2:10">
      <c r="B423" s="107" t="s">
        <v>832</v>
      </c>
      <c r="C423" s="108">
        <v>1.08</v>
      </c>
      <c r="D423" s="108">
        <v>1.06</v>
      </c>
      <c r="E423" s="108">
        <v>1.05</v>
      </c>
      <c r="F423" s="108">
        <v>1.03</v>
      </c>
      <c r="G423" s="108">
        <v>1.03</v>
      </c>
      <c r="H423" s="108">
        <v>1.03</v>
      </c>
    </row>
    <row r="424" spans="2:10">
      <c r="B424" s="107" t="s">
        <v>833</v>
      </c>
      <c r="C424" s="108">
        <v>1.1000000000000001</v>
      </c>
      <c r="D424" s="108">
        <v>1.08</v>
      </c>
      <c r="E424" s="108">
        <v>1.06</v>
      </c>
      <c r="F424" s="108">
        <v>1.04</v>
      </c>
      <c r="G424" s="108">
        <v>1.04</v>
      </c>
      <c r="H424" s="108">
        <v>1.04</v>
      </c>
    </row>
    <row r="425" spans="2:10">
      <c r="B425" s="107" t="s">
        <v>834</v>
      </c>
      <c r="C425" s="108">
        <v>1.04</v>
      </c>
      <c r="D425" s="108">
        <v>1.05</v>
      </c>
      <c r="E425" s="108">
        <v>1.08</v>
      </c>
      <c r="F425" s="108">
        <v>1.0900000000000001</v>
      </c>
      <c r="G425" s="108">
        <v>1.07</v>
      </c>
      <c r="H425" s="108">
        <v>1.06</v>
      </c>
    </row>
    <row r="428" spans="2:10">
      <c r="B428" s="107" t="s">
        <v>86</v>
      </c>
      <c r="C428" s="108">
        <v>1</v>
      </c>
      <c r="D428" s="108">
        <v>2</v>
      </c>
      <c r="E428" s="108">
        <v>3</v>
      </c>
      <c r="F428" s="108">
        <v>4</v>
      </c>
      <c r="G428" s="108">
        <v>5</v>
      </c>
      <c r="H428" s="108">
        <v>6</v>
      </c>
    </row>
    <row r="429" spans="2:10">
      <c r="B429" s="107" t="s">
        <v>824</v>
      </c>
      <c r="C429" s="115">
        <v>11</v>
      </c>
      <c r="D429" s="115">
        <v>11</v>
      </c>
      <c r="E429" s="115">
        <v>11</v>
      </c>
      <c r="F429" s="115">
        <v>9</v>
      </c>
      <c r="G429" s="115">
        <v>10</v>
      </c>
      <c r="H429" s="115">
        <v>10</v>
      </c>
    </row>
    <row r="430" spans="2:10">
      <c r="B430" s="107" t="s">
        <v>820</v>
      </c>
      <c r="C430" s="108">
        <v>100</v>
      </c>
      <c r="D430" s="108">
        <v>100</v>
      </c>
      <c r="E430" s="108">
        <v>100</v>
      </c>
      <c r="F430" s="108">
        <v>100</v>
      </c>
      <c r="G430" s="108">
        <v>100</v>
      </c>
      <c r="H430" s="108">
        <v>100</v>
      </c>
    </row>
    <row r="431" spans="2:10">
      <c r="B431" s="107" t="s">
        <v>825</v>
      </c>
      <c r="C431" s="108">
        <f>C429*C430</f>
        <v>1100</v>
      </c>
      <c r="D431" s="108">
        <f t="shared" ref="D431:H431" si="13">D429*D430</f>
        <v>1100</v>
      </c>
      <c r="E431" s="108">
        <f t="shared" si="13"/>
        <v>1100</v>
      </c>
      <c r="F431" s="108">
        <f t="shared" si="13"/>
        <v>900</v>
      </c>
      <c r="G431" s="108">
        <f t="shared" si="13"/>
        <v>1000</v>
      </c>
      <c r="H431" s="108">
        <f t="shared" si="13"/>
        <v>1000</v>
      </c>
    </row>
    <row r="432" spans="2:10">
      <c r="B432" s="107" t="s">
        <v>819</v>
      </c>
      <c r="C432" s="4">
        <v>500</v>
      </c>
      <c r="D432" s="4">
        <f>C432*D433</f>
        <v>530</v>
      </c>
      <c r="E432" s="4">
        <f>D432*E433</f>
        <v>556.5</v>
      </c>
      <c r="F432" s="4">
        <f>E432*F433</f>
        <v>573.19500000000005</v>
      </c>
      <c r="G432" s="4">
        <f>F432*G433</f>
        <v>590.39085000000011</v>
      </c>
      <c r="H432" s="4">
        <f>G432*H433</f>
        <v>608.10257550000017</v>
      </c>
    </row>
    <row r="433" spans="2:9">
      <c r="B433" s="107" t="s">
        <v>826</v>
      </c>
      <c r="C433" s="115"/>
      <c r="D433" s="108">
        <v>1.06</v>
      </c>
      <c r="E433" s="108">
        <v>1.05</v>
      </c>
      <c r="F433" s="108">
        <v>1.03</v>
      </c>
      <c r="G433" s="108">
        <v>1.03</v>
      </c>
      <c r="H433" s="108">
        <v>1.03</v>
      </c>
    </row>
    <row r="434" spans="2:9">
      <c r="B434" s="107" t="s">
        <v>780</v>
      </c>
      <c r="C434" s="4">
        <f t="shared" ref="C434:H434" si="14">C432*C431</f>
        <v>550000</v>
      </c>
      <c r="D434" s="4">
        <f t="shared" si="14"/>
        <v>583000</v>
      </c>
      <c r="E434" s="4">
        <f t="shared" si="14"/>
        <v>612150</v>
      </c>
      <c r="F434" s="4">
        <f t="shared" si="14"/>
        <v>515875.50000000006</v>
      </c>
      <c r="G434" s="4">
        <f t="shared" si="14"/>
        <v>590390.85000000009</v>
      </c>
      <c r="H434" s="4">
        <f t="shared" si="14"/>
        <v>608102.57550000015</v>
      </c>
    </row>
    <row r="435" spans="2:9">
      <c r="B435" s="107" t="s">
        <v>821</v>
      </c>
      <c r="C435" s="108">
        <v>130</v>
      </c>
      <c r="D435" s="108">
        <v>130</v>
      </c>
      <c r="E435" s="108">
        <v>130</v>
      </c>
      <c r="F435" s="108">
        <v>130</v>
      </c>
      <c r="G435" s="108">
        <v>130</v>
      </c>
      <c r="H435" s="108">
        <v>130</v>
      </c>
    </row>
    <row r="436" spans="2:9">
      <c r="B436" s="107" t="s">
        <v>826</v>
      </c>
      <c r="C436" s="115"/>
      <c r="D436" s="108">
        <v>1.08</v>
      </c>
      <c r="E436" s="108">
        <v>1.06</v>
      </c>
      <c r="F436" s="108">
        <v>1.04</v>
      </c>
      <c r="G436" s="108">
        <v>1.04</v>
      </c>
      <c r="H436" s="108">
        <v>1.04</v>
      </c>
    </row>
    <row r="437" spans="2:9">
      <c r="B437" s="107" t="s">
        <v>828</v>
      </c>
      <c r="C437" s="4">
        <f>C435</f>
        <v>130</v>
      </c>
      <c r="D437" s="4">
        <f>D435*D436</f>
        <v>140.4</v>
      </c>
      <c r="E437" s="4">
        <f>D437*E436</f>
        <v>148.82400000000001</v>
      </c>
      <c r="F437" s="4">
        <f>E437*F436</f>
        <v>154.77696000000003</v>
      </c>
      <c r="G437" s="4">
        <f>F437*G436</f>
        <v>160.96803840000004</v>
      </c>
      <c r="H437" s="4">
        <f>G437*H436</f>
        <v>167.40675993600004</v>
      </c>
    </row>
    <row r="438" spans="2:9">
      <c r="B438" s="107" t="s">
        <v>822</v>
      </c>
      <c r="C438" s="4">
        <f t="shared" ref="C438:H438" si="15">C431*C437</f>
        <v>143000</v>
      </c>
      <c r="D438" s="4">
        <f t="shared" si="15"/>
        <v>154440</v>
      </c>
      <c r="E438" s="4">
        <f t="shared" si="15"/>
        <v>163706.40000000002</v>
      </c>
      <c r="F438" s="4">
        <f t="shared" si="15"/>
        <v>139299.26400000002</v>
      </c>
      <c r="G438" s="4">
        <f t="shared" si="15"/>
        <v>160968.03840000005</v>
      </c>
      <c r="H438" s="4">
        <f t="shared" si="15"/>
        <v>167406.75993600005</v>
      </c>
    </row>
    <row r="439" spans="2:9">
      <c r="B439" s="107" t="s">
        <v>829</v>
      </c>
      <c r="C439" s="4">
        <v>10000</v>
      </c>
      <c r="D439" s="4">
        <f>C439*D436</f>
        <v>10800</v>
      </c>
      <c r="E439" s="4">
        <f>D439*E436</f>
        <v>11448</v>
      </c>
      <c r="F439" s="4">
        <f>E439*F436</f>
        <v>11905.92</v>
      </c>
      <c r="G439" s="4">
        <f>F439*G436</f>
        <v>12382.156800000001</v>
      </c>
      <c r="H439" s="4">
        <f>G439*H436</f>
        <v>12877.443072000002</v>
      </c>
    </row>
    <row r="440" spans="2:9">
      <c r="B440" s="107" t="s">
        <v>823</v>
      </c>
      <c r="C440" s="107"/>
      <c r="D440" s="107"/>
      <c r="E440" s="107"/>
      <c r="F440" s="102">
        <v>750000</v>
      </c>
      <c r="G440" s="107"/>
      <c r="H440" s="107"/>
    </row>
    <row r="441" spans="2:9">
      <c r="B441" s="107" t="s">
        <v>783</v>
      </c>
      <c r="C441" s="4">
        <f>C434-C438-C439</f>
        <v>397000</v>
      </c>
      <c r="D441" s="4">
        <f>D434-D438-D439</f>
        <v>417760</v>
      </c>
      <c r="E441" s="4">
        <f>E434-E438-E439</f>
        <v>436995.6</v>
      </c>
      <c r="F441" s="4">
        <f>F434-F438-F439-F440</f>
        <v>-385329.68399999995</v>
      </c>
      <c r="G441" s="4">
        <f>G434-G438-G439</f>
        <v>417040.65480000002</v>
      </c>
      <c r="H441" s="4">
        <f>H434-H438-H439</f>
        <v>427818.37249200011</v>
      </c>
    </row>
    <row r="442" spans="2:9">
      <c r="B442" s="107" t="s">
        <v>88</v>
      </c>
      <c r="C442" s="109">
        <v>0.2</v>
      </c>
      <c r="D442" s="109">
        <v>0.2</v>
      </c>
      <c r="E442" s="109">
        <v>0.2</v>
      </c>
      <c r="F442" s="109">
        <v>0.2</v>
      </c>
      <c r="G442" s="109">
        <v>0.2</v>
      </c>
      <c r="H442" s="109">
        <v>0.2</v>
      </c>
    </row>
    <row r="443" spans="2:9">
      <c r="B443" s="107" t="s">
        <v>134</v>
      </c>
      <c r="C443" s="4">
        <f t="shared" ref="C443:H443" si="16">C441/(1+C442)^(C428-0.5)</f>
        <v>362409.75888258492</v>
      </c>
      <c r="D443" s="4">
        <f t="shared" si="16"/>
        <v>317800.7994768864</v>
      </c>
      <c r="E443" s="4">
        <f t="shared" si="16"/>
        <v>277028.18015104695</v>
      </c>
      <c r="F443" s="4">
        <f t="shared" si="16"/>
        <v>-203562.65432401377</v>
      </c>
      <c r="G443" s="4">
        <f t="shared" si="16"/>
        <v>183595.8188904041</v>
      </c>
      <c r="H443" s="4">
        <f t="shared" si="16"/>
        <v>156950.45460994847</v>
      </c>
      <c r="I443" s="11">
        <f>SUM(C443:H443)</f>
        <v>1094222.3576868572</v>
      </c>
    </row>
    <row r="445" spans="2:9">
      <c r="C445" s="110" t="s">
        <v>831</v>
      </c>
    </row>
    <row r="453" spans="2:10" ht="19.5" thickBot="1"/>
    <row r="454" spans="2:10" ht="96.75" customHeight="1" thickBot="1">
      <c r="B454" s="236" t="s">
        <v>842</v>
      </c>
      <c r="C454" s="237"/>
      <c r="D454" s="237"/>
      <c r="E454" s="237"/>
      <c r="F454" s="237"/>
      <c r="G454" s="237"/>
      <c r="H454" s="237"/>
      <c r="I454" s="238"/>
      <c r="J454" s="1"/>
    </row>
    <row r="456" spans="2:10">
      <c r="B456" s="118"/>
    </row>
    <row r="457" spans="2:10">
      <c r="B457" s="107" t="s">
        <v>797</v>
      </c>
      <c r="C457" s="3">
        <v>400000</v>
      </c>
      <c r="E457" s="111"/>
    </row>
    <row r="458" spans="2:10">
      <c r="B458" s="107" t="s">
        <v>810</v>
      </c>
      <c r="C458" s="3">
        <v>880</v>
      </c>
      <c r="E458" s="111"/>
    </row>
    <row r="459" spans="2:10">
      <c r="B459" s="107" t="s">
        <v>798</v>
      </c>
      <c r="C459" s="3">
        <v>1650</v>
      </c>
      <c r="E459" s="111"/>
    </row>
    <row r="460" spans="2:10">
      <c r="B460" s="107" t="s">
        <v>856</v>
      </c>
      <c r="C460" s="3">
        <v>2850</v>
      </c>
      <c r="E460" s="111"/>
    </row>
    <row r="461" spans="2:10">
      <c r="B461" s="107" t="s">
        <v>88</v>
      </c>
      <c r="C461" s="112">
        <v>0.15</v>
      </c>
      <c r="E461" s="111"/>
    </row>
    <row r="462" spans="2:10">
      <c r="B462" s="107" t="s">
        <v>800</v>
      </c>
      <c r="C462" s="112">
        <v>0.09</v>
      </c>
    </row>
    <row r="463" spans="2:10">
      <c r="B463" s="107" t="s">
        <v>20</v>
      </c>
      <c r="C463" s="107">
        <v>9</v>
      </c>
    </row>
    <row r="464" spans="2:10">
      <c r="B464" s="107" t="s">
        <v>6</v>
      </c>
      <c r="C464" s="107">
        <v>12</v>
      </c>
    </row>
    <row r="465" spans="2:7">
      <c r="B465" s="107" t="s">
        <v>843</v>
      </c>
      <c r="C465" s="3">
        <v>600000</v>
      </c>
    </row>
    <row r="466" spans="2:7">
      <c r="B466" s="113" t="s">
        <v>7</v>
      </c>
      <c r="C466" s="107"/>
    </row>
    <row r="467" spans="2:7">
      <c r="B467" s="107" t="s">
        <v>54</v>
      </c>
      <c r="C467" s="107">
        <v>3</v>
      </c>
      <c r="D467" s="110" t="s">
        <v>860</v>
      </c>
    </row>
    <row r="468" spans="2:7">
      <c r="B468" s="107" t="s">
        <v>801</v>
      </c>
      <c r="C468" s="114">
        <f>PMT(C462,C467,,-1)</f>
        <v>0.3050547573289405</v>
      </c>
      <c r="D468" s="110" t="s">
        <v>802</v>
      </c>
    </row>
    <row r="469" spans="2:7">
      <c r="B469" s="107" t="s">
        <v>394</v>
      </c>
      <c r="C469" s="114">
        <f>C461+C468</f>
        <v>0.45505475732894052</v>
      </c>
    </row>
    <row r="472" spans="2:7">
      <c r="B472" s="116" t="s">
        <v>1171</v>
      </c>
    </row>
    <row r="473" spans="2:7">
      <c r="B473" s="107" t="s">
        <v>86</v>
      </c>
      <c r="C473" s="120">
        <v>1</v>
      </c>
      <c r="D473" s="120">
        <v>2</v>
      </c>
      <c r="E473" s="120">
        <v>3</v>
      </c>
      <c r="F473" s="120" t="s">
        <v>786</v>
      </c>
    </row>
    <row r="474" spans="2:7">
      <c r="B474" s="107" t="s">
        <v>810</v>
      </c>
      <c r="C474" s="120">
        <v>880</v>
      </c>
      <c r="D474" s="120">
        <v>880</v>
      </c>
      <c r="E474" s="120">
        <v>880</v>
      </c>
      <c r="F474" s="120"/>
    </row>
    <row r="475" spans="2:7">
      <c r="B475" s="107" t="s">
        <v>844</v>
      </c>
      <c r="C475" s="121">
        <v>2850</v>
      </c>
      <c r="D475" s="121">
        <f>C475*1.02</f>
        <v>2907</v>
      </c>
      <c r="E475" s="121">
        <f>D475*1.02</f>
        <v>2965.14</v>
      </c>
      <c r="F475" s="120"/>
    </row>
    <row r="476" spans="2:7">
      <c r="B476" s="107" t="s">
        <v>845</v>
      </c>
      <c r="C476" s="122">
        <f>C474*C475</f>
        <v>2508000</v>
      </c>
      <c r="D476" s="122">
        <f>D474*D475</f>
        <v>2558160</v>
      </c>
      <c r="E476" s="122">
        <f>E474*E475</f>
        <v>2609323.1999999997</v>
      </c>
      <c r="F476" s="120"/>
    </row>
    <row r="477" spans="2:7">
      <c r="B477" s="107" t="s">
        <v>846</v>
      </c>
      <c r="C477" s="121">
        <v>1650</v>
      </c>
      <c r="D477" s="121">
        <f>C477*1.02</f>
        <v>1683</v>
      </c>
      <c r="E477" s="121">
        <f>D477*1.02</f>
        <v>1716.66</v>
      </c>
      <c r="F477" s="120"/>
    </row>
    <row r="478" spans="2:7">
      <c r="B478" s="107" t="s">
        <v>847</v>
      </c>
      <c r="C478" s="122">
        <f>C474*C477</f>
        <v>1452000</v>
      </c>
      <c r="D478" s="122">
        <f t="shared" ref="D478:E478" si="17">D474*D477</f>
        <v>1481040</v>
      </c>
      <c r="E478" s="122">
        <f t="shared" si="17"/>
        <v>1510660.8</v>
      </c>
      <c r="F478" s="120"/>
    </row>
    <row r="479" spans="2:7">
      <c r="B479" s="107" t="s">
        <v>848</v>
      </c>
      <c r="C479" s="127">
        <v>1053797.8972400785</v>
      </c>
      <c r="D479" s="123">
        <f>C479*1.02</f>
        <v>1074873.8551848801</v>
      </c>
      <c r="E479" s="123">
        <f>D479*1.02</f>
        <v>1096371.3322885777</v>
      </c>
      <c r="F479" s="120"/>
      <c r="G479" s="35" t="s">
        <v>867</v>
      </c>
    </row>
    <row r="480" spans="2:7">
      <c r="B480" s="107" t="s">
        <v>758</v>
      </c>
      <c r="C480" s="121">
        <f>C476-C478-C479</f>
        <v>2202.1027599214576</v>
      </c>
      <c r="D480" s="121">
        <f t="shared" ref="D480:E480" si="18">D476-D478-D479</f>
        <v>2246.1448151199147</v>
      </c>
      <c r="E480" s="121">
        <f t="shared" si="18"/>
        <v>2291.067711421987</v>
      </c>
      <c r="F480" s="121">
        <v>600000</v>
      </c>
      <c r="G480" s="35" t="s">
        <v>858</v>
      </c>
    </row>
    <row r="481" spans="2:7">
      <c r="B481" s="107" t="s">
        <v>88</v>
      </c>
      <c r="C481" s="124">
        <v>0.15</v>
      </c>
      <c r="D481" s="124">
        <v>0.15</v>
      </c>
      <c r="E481" s="124">
        <v>0.15</v>
      </c>
      <c r="F481" s="124">
        <v>0.15</v>
      </c>
      <c r="G481" s="106" t="s">
        <v>49</v>
      </c>
    </row>
    <row r="482" spans="2:7">
      <c r="B482" s="125" t="s">
        <v>134</v>
      </c>
      <c r="C482" s="126">
        <f>C480/(1+C481)^(C473-0.5)</f>
        <v>2053.4714118660245</v>
      </c>
      <c r="D482" s="126">
        <f>D480/(1+D481)^(D473-0.5)</f>
        <v>1821.3398609594535</v>
      </c>
      <c r="E482" s="126">
        <f>E480/(1+E481)^(E473-0.5)</f>
        <v>1615.4492679811983</v>
      </c>
      <c r="F482" s="126">
        <f>F480/(1+F481)^E473</f>
        <v>394509.73945919302</v>
      </c>
      <c r="G482" s="2">
        <f>SUM(C482:F482)</f>
        <v>399999.99999999971</v>
      </c>
    </row>
    <row r="483" spans="2:7">
      <c r="B483" s="107" t="s">
        <v>849</v>
      </c>
      <c r="C483" s="123">
        <f>C479/(1+C481)^(C473-0.5)</f>
        <v>982671.60608990525</v>
      </c>
      <c r="D483" s="123">
        <f>D479/(1+D481)^(D473-0.5)</f>
        <v>871586.98974930739</v>
      </c>
      <c r="E483" s="123">
        <f>E479/(1+E481)^(E473-0.5)</f>
        <v>773059.76482112485</v>
      </c>
      <c r="F483" s="120"/>
      <c r="G483" s="8">
        <f>SUM(C483:F483)</f>
        <v>2627318.3606603374</v>
      </c>
    </row>
    <row r="484" spans="2:7">
      <c r="C484" s="119"/>
      <c r="D484" s="119"/>
      <c r="E484" s="119"/>
      <c r="F484" s="119" t="s">
        <v>857</v>
      </c>
      <c r="G484" s="2">
        <f>ROUND(G483,-3)</f>
        <v>2627000</v>
      </c>
    </row>
    <row r="485" spans="2:7">
      <c r="B485" s="116" t="s">
        <v>363</v>
      </c>
      <c r="C485" s="119"/>
      <c r="D485" s="119"/>
      <c r="E485" s="119"/>
      <c r="F485" s="119"/>
    </row>
    <row r="486" spans="2:7">
      <c r="B486" s="107" t="s">
        <v>854</v>
      </c>
      <c r="C486" s="3">
        <v>400000</v>
      </c>
      <c r="D486" s="120"/>
      <c r="E486" s="120"/>
      <c r="F486" s="119"/>
    </row>
    <row r="487" spans="2:7">
      <c r="B487" s="107" t="s">
        <v>850</v>
      </c>
      <c r="C487" s="3">
        <f>PV(C461,C467,,-C465)</f>
        <v>394509.73945919302</v>
      </c>
      <c r="D487" s="107"/>
      <c r="E487" s="107"/>
      <c r="G487" s="132" t="s">
        <v>906</v>
      </c>
    </row>
    <row r="488" spans="2:7">
      <c r="B488" s="107" t="s">
        <v>851</v>
      </c>
      <c r="C488" s="3">
        <f>C486-C487</f>
        <v>5490.2605408069794</v>
      </c>
      <c r="D488" s="107"/>
      <c r="E488" s="107"/>
      <c r="G488" s="132" t="s">
        <v>907</v>
      </c>
    </row>
    <row r="489" spans="2:7">
      <c r="B489" s="107" t="s">
        <v>394</v>
      </c>
      <c r="C489" s="114">
        <f>C469</f>
        <v>0.45505475732894052</v>
      </c>
      <c r="D489" s="107"/>
      <c r="E489" s="107"/>
    </row>
    <row r="490" spans="2:7">
      <c r="B490" s="107" t="s">
        <v>852</v>
      </c>
      <c r="C490" s="112">
        <v>0.02</v>
      </c>
      <c r="D490" s="107"/>
      <c r="E490" s="107"/>
    </row>
    <row r="491" spans="2:7">
      <c r="B491" s="107" t="s">
        <v>853</v>
      </c>
      <c r="C491" s="114">
        <f>C489-C490</f>
        <v>0.4350547573289405</v>
      </c>
      <c r="D491" s="107"/>
      <c r="E491" s="107"/>
      <c r="F491" s="110" t="s">
        <v>868</v>
      </c>
    </row>
    <row r="492" spans="2:7">
      <c r="B492" s="107" t="s">
        <v>855</v>
      </c>
      <c r="C492" s="3">
        <f>C488*C491</f>
        <v>2388.563967253438</v>
      </c>
      <c r="D492" s="107"/>
      <c r="E492" s="107"/>
      <c r="F492" s="110" t="s">
        <v>859</v>
      </c>
    </row>
    <row r="493" spans="2:7">
      <c r="B493" s="107" t="s">
        <v>758</v>
      </c>
      <c r="C493" s="3">
        <f>C492/(1+C490)</f>
        <v>2341.7293796602335</v>
      </c>
      <c r="D493" s="107"/>
      <c r="E493" s="107"/>
      <c r="F493" s="110" t="s">
        <v>859</v>
      </c>
    </row>
    <row r="494" spans="2:7">
      <c r="B494" s="107" t="s">
        <v>818</v>
      </c>
      <c r="C494" s="3">
        <f>C476-C478-C493</f>
        <v>1053658.2706203398</v>
      </c>
      <c r="D494" s="3">
        <f>C494*1.02</f>
        <v>1074731.4360327467</v>
      </c>
      <c r="E494" s="3">
        <f>D494*1.02</f>
        <v>1096226.0647534016</v>
      </c>
    </row>
    <row r="495" spans="2:7">
      <c r="B495" s="107" t="s">
        <v>849</v>
      </c>
      <c r="C495" s="101">
        <f>C494/(1+C481)^(C473-0.5)</f>
        <v>982541.40359564056</v>
      </c>
      <c r="D495" s="101">
        <f>D494/(1+D481)^(D473-0.5)</f>
        <v>871471.50579787279</v>
      </c>
      <c r="E495" s="101">
        <f>E494/(1+E481)^(E473-0.5)</f>
        <v>772957.33557724359</v>
      </c>
      <c r="F495" s="23">
        <f>SUM(C495:E495)</f>
        <v>2626970.244970757</v>
      </c>
    </row>
    <row r="496" spans="2:7">
      <c r="E496" s="119" t="s">
        <v>857</v>
      </c>
      <c r="F496" s="2">
        <f>ROUND(F495,-3)</f>
        <v>2627000</v>
      </c>
    </row>
    <row r="499" spans="2:8">
      <c r="B499" s="116" t="s">
        <v>1172</v>
      </c>
    </row>
    <row r="500" spans="2:8">
      <c r="B500" s="107" t="s">
        <v>86</v>
      </c>
      <c r="C500" s="120">
        <v>1</v>
      </c>
      <c r="D500" s="120">
        <v>2</v>
      </c>
      <c r="E500" s="120">
        <v>3</v>
      </c>
      <c r="F500" s="120" t="s">
        <v>786</v>
      </c>
    </row>
    <row r="501" spans="2:8">
      <c r="B501" s="107" t="s">
        <v>810</v>
      </c>
      <c r="C501" s="120">
        <v>880</v>
      </c>
      <c r="D501" s="120">
        <v>880</v>
      </c>
      <c r="E501" s="120">
        <v>880</v>
      </c>
      <c r="F501" s="120"/>
    </row>
    <row r="502" spans="2:8">
      <c r="B502" s="107" t="s">
        <v>844</v>
      </c>
      <c r="C502" s="121">
        <v>2850</v>
      </c>
      <c r="D502" s="121">
        <f>C502*1.02</f>
        <v>2907</v>
      </c>
      <c r="E502" s="121">
        <f>D502*1.02</f>
        <v>2965.14</v>
      </c>
      <c r="F502" s="120"/>
    </row>
    <row r="503" spans="2:8">
      <c r="B503" s="107" t="s">
        <v>845</v>
      </c>
      <c r="C503" s="122">
        <f>C501*C502</f>
        <v>2508000</v>
      </c>
      <c r="D503" s="122">
        <f>D501*D502</f>
        <v>2558160</v>
      </c>
      <c r="E503" s="122">
        <f>E501*E502</f>
        <v>2609323.1999999997</v>
      </c>
      <c r="F503" s="120"/>
    </row>
    <row r="504" spans="2:8">
      <c r="B504" s="107" t="s">
        <v>846</v>
      </c>
      <c r="C504" s="121">
        <v>1650</v>
      </c>
      <c r="D504" s="121">
        <f>C504*1.02</f>
        <v>1683</v>
      </c>
      <c r="E504" s="121">
        <f>D504*1.02</f>
        <v>1716.66</v>
      </c>
      <c r="F504" s="120"/>
    </row>
    <row r="505" spans="2:8">
      <c r="B505" s="107" t="s">
        <v>847</v>
      </c>
      <c r="C505" s="122">
        <f>C501*C504</f>
        <v>1452000</v>
      </c>
      <c r="D505" s="122">
        <f t="shared" ref="D505:E505" si="19">D501*D504</f>
        <v>1481040</v>
      </c>
      <c r="E505" s="122">
        <f t="shared" si="19"/>
        <v>1510660.8</v>
      </c>
      <c r="F505" s="120"/>
    </row>
    <row r="506" spans="2:8">
      <c r="B506" s="107" t="s">
        <v>1173</v>
      </c>
      <c r="C506" s="121">
        <f>C503-C505</f>
        <v>1056000</v>
      </c>
      <c r="D506" s="121">
        <f>D503-D505</f>
        <v>1077120</v>
      </c>
      <c r="E506" s="121">
        <f>E503-E505</f>
        <v>1098662.3999999997</v>
      </c>
      <c r="F506" s="121">
        <v>600000</v>
      </c>
    </row>
    <row r="507" spans="2:8">
      <c r="B507" s="107" t="s">
        <v>88</v>
      </c>
      <c r="C507" s="124">
        <v>0.15</v>
      </c>
      <c r="D507" s="124">
        <v>0.15</v>
      </c>
      <c r="E507" s="124">
        <v>0.15</v>
      </c>
      <c r="F507" s="124">
        <v>0.15</v>
      </c>
    </row>
    <row r="508" spans="2:8">
      <c r="B508" s="107" t="s">
        <v>1174</v>
      </c>
      <c r="C508" s="121">
        <f>C506/(1+C507)^(C500-0.5)</f>
        <v>984725.07750177127</v>
      </c>
      <c r="D508" s="121">
        <f>D506/(1+D507)^(D500-0.5)</f>
        <v>873408.32961026684</v>
      </c>
      <c r="E508" s="121">
        <f>E506/(1+E507)^(E500-0.5)</f>
        <v>774675.21408910607</v>
      </c>
      <c r="F508" s="121">
        <f>F506/(1+F507)^E500</f>
        <v>394509.73945919302</v>
      </c>
      <c r="G508" s="1"/>
      <c r="H508" s="110"/>
    </row>
    <row r="509" spans="2:8">
      <c r="B509" s="107" t="s">
        <v>1176</v>
      </c>
      <c r="C509" s="121"/>
      <c r="D509" s="121"/>
      <c r="E509" s="121"/>
      <c r="F509" s="121">
        <f>C508+D508+E508+F508</f>
        <v>3027318.3606603374</v>
      </c>
      <c r="G509" s="1"/>
      <c r="H509" s="110"/>
    </row>
    <row r="510" spans="2:8">
      <c r="B510" s="107" t="s">
        <v>1175</v>
      </c>
      <c r="C510" s="121"/>
      <c r="D510" s="121"/>
      <c r="E510" s="121"/>
      <c r="F510" s="121">
        <v>400000</v>
      </c>
    </row>
    <row r="511" spans="2:8">
      <c r="B511" s="107" t="s">
        <v>818</v>
      </c>
      <c r="C511" s="121"/>
      <c r="D511" s="121"/>
      <c r="E511" s="121"/>
      <c r="F511" s="158">
        <f>F509-F510</f>
        <v>2627318.3606603374</v>
      </c>
    </row>
    <row r="520" spans="2:10" ht="19.5" thickBot="1"/>
    <row r="521" spans="2:10" ht="58.5" customHeight="1" thickBot="1">
      <c r="B521" s="236" t="s">
        <v>1177</v>
      </c>
      <c r="C521" s="237"/>
      <c r="D521" s="237"/>
      <c r="E521" s="237"/>
      <c r="F521" s="237"/>
      <c r="G521" s="237"/>
      <c r="H521" s="237"/>
      <c r="I521" s="238"/>
      <c r="J521" s="1"/>
    </row>
    <row r="524" spans="2:10">
      <c r="B524" s="107" t="s">
        <v>10</v>
      </c>
      <c r="C524" s="3">
        <v>600000</v>
      </c>
    </row>
    <row r="525" spans="2:10">
      <c r="B525" s="107" t="s">
        <v>810</v>
      </c>
      <c r="C525" s="107">
        <v>800</v>
      </c>
    </row>
    <row r="526" spans="2:10">
      <c r="B526" s="107" t="s">
        <v>861</v>
      </c>
      <c r="C526" s="107">
        <v>2200</v>
      </c>
    </row>
    <row r="527" spans="2:10">
      <c r="B527" s="107" t="s">
        <v>862</v>
      </c>
      <c r="C527" s="107">
        <v>1630</v>
      </c>
    </row>
    <row r="528" spans="2:10">
      <c r="B528" s="107" t="s">
        <v>818</v>
      </c>
      <c r="C528" s="107">
        <v>98000</v>
      </c>
    </row>
    <row r="529" spans="2:4">
      <c r="B529" s="107" t="s">
        <v>205</v>
      </c>
      <c r="C529" s="107">
        <v>5</v>
      </c>
    </row>
    <row r="530" spans="2:4">
      <c r="B530" s="107" t="s">
        <v>265</v>
      </c>
      <c r="C530" s="107">
        <v>15</v>
      </c>
    </row>
    <row r="531" spans="2:4">
      <c r="B531" s="107" t="s">
        <v>794</v>
      </c>
      <c r="C531" s="112">
        <v>7.0000000000000007E-2</v>
      </c>
    </row>
    <row r="532" spans="2:4">
      <c r="B532" s="113" t="s">
        <v>7</v>
      </c>
      <c r="C532" s="107"/>
    </row>
    <row r="533" spans="2:4">
      <c r="B533" s="107" t="s">
        <v>247</v>
      </c>
      <c r="C533" s="107">
        <f>C530-C529</f>
        <v>10</v>
      </c>
    </row>
    <row r="534" spans="2:4">
      <c r="B534" s="107" t="s">
        <v>863</v>
      </c>
      <c r="C534" s="112">
        <f>1/C533</f>
        <v>0.1</v>
      </c>
    </row>
    <row r="535" spans="2:4">
      <c r="B535" s="107" t="s">
        <v>1178</v>
      </c>
      <c r="C535" s="3">
        <f>C526/1.18</f>
        <v>1864.406779661017</v>
      </c>
    </row>
    <row r="536" spans="2:4">
      <c r="B536" s="107" t="s">
        <v>864</v>
      </c>
      <c r="C536" s="3">
        <f>C535*C525</f>
        <v>1491525.4237288137</v>
      </c>
    </row>
    <row r="537" spans="2:4">
      <c r="B537" s="107" t="s">
        <v>865</v>
      </c>
      <c r="C537" s="3">
        <f>C525*C527</f>
        <v>1304000</v>
      </c>
    </row>
    <row r="538" spans="2:4">
      <c r="B538" s="107" t="s">
        <v>758</v>
      </c>
      <c r="C538" s="3">
        <f>C536-C537-C528</f>
        <v>89525.42372881365</v>
      </c>
      <c r="D538" s="110" t="s">
        <v>1179</v>
      </c>
    </row>
    <row r="539" spans="2:4">
      <c r="B539" s="107" t="s">
        <v>414</v>
      </c>
      <c r="C539" s="114">
        <f>C529/C530</f>
        <v>0.33333333333333331</v>
      </c>
      <c r="D539" s="110" t="s">
        <v>1180</v>
      </c>
    </row>
    <row r="540" spans="2:4">
      <c r="B540" s="107" t="s">
        <v>866</v>
      </c>
      <c r="C540" s="3">
        <f>C524*(1-C539)</f>
        <v>400000.00000000006</v>
      </c>
      <c r="D540" s="110" t="s">
        <v>1181</v>
      </c>
    </row>
    <row r="541" spans="2:4">
      <c r="B541" s="107" t="s">
        <v>394</v>
      </c>
      <c r="C541" s="114">
        <f>C538/C540</f>
        <v>0.22381355932203409</v>
      </c>
      <c r="D541" s="110" t="s">
        <v>1182</v>
      </c>
    </row>
    <row r="542" spans="2:4">
      <c r="B542" s="107" t="s">
        <v>88</v>
      </c>
      <c r="C542" s="117">
        <f>C541-C534</f>
        <v>0.12381355932203408</v>
      </c>
      <c r="D542" s="110" t="s">
        <v>1183</v>
      </c>
    </row>
    <row r="545" spans="2:10" ht="19.5" thickBot="1"/>
    <row r="546" spans="2:10" ht="39.6" customHeight="1" thickBot="1">
      <c r="B546" s="236" t="s">
        <v>1110</v>
      </c>
      <c r="C546" s="237"/>
      <c r="D546" s="237"/>
      <c r="E546" s="237"/>
      <c r="F546" s="237"/>
      <c r="G546" s="237"/>
      <c r="H546" s="237"/>
      <c r="I546" s="238"/>
      <c r="J546" s="1"/>
    </row>
    <row r="549" spans="2:10">
      <c r="B549" s="107" t="s">
        <v>143</v>
      </c>
      <c r="C549" s="107">
        <v>6</v>
      </c>
    </row>
    <row r="550" spans="2:10">
      <c r="B550" s="107" t="s">
        <v>265</v>
      </c>
      <c r="C550" s="107">
        <v>10</v>
      </c>
    </row>
    <row r="551" spans="2:10">
      <c r="B551" s="107" t="s">
        <v>1111</v>
      </c>
      <c r="C551" s="112">
        <v>0.15</v>
      </c>
      <c r="D551" s="118" t="s">
        <v>76</v>
      </c>
    </row>
    <row r="552" spans="2:10">
      <c r="B552" s="107" t="s">
        <v>794</v>
      </c>
      <c r="C552" s="112">
        <v>0.09</v>
      </c>
      <c r="D552" s="118" t="s">
        <v>76</v>
      </c>
    </row>
    <row r="553" spans="2:10">
      <c r="B553" s="113" t="s">
        <v>7</v>
      </c>
      <c r="C553" s="107"/>
    </row>
    <row r="554" spans="2:10">
      <c r="B554" s="107" t="s">
        <v>247</v>
      </c>
      <c r="C554" s="107">
        <f>C550-C549</f>
        <v>4</v>
      </c>
    </row>
    <row r="555" spans="2:10">
      <c r="B555" s="107" t="s">
        <v>863</v>
      </c>
      <c r="C555" s="153">
        <f>1/C554</f>
        <v>0.25</v>
      </c>
      <c r="D555" s="118" t="s">
        <v>1112</v>
      </c>
    </row>
    <row r="556" spans="2:10">
      <c r="C556" s="154">
        <f>1/C554</f>
        <v>0.25</v>
      </c>
      <c r="D556" s="118" t="s">
        <v>1112</v>
      </c>
    </row>
    <row r="558" spans="2:10" ht="19.5" thickBot="1"/>
    <row r="559" spans="2:10" ht="79.5" customHeight="1" thickBot="1">
      <c r="B559" s="236" t="s">
        <v>1627</v>
      </c>
      <c r="C559" s="237"/>
      <c r="D559" s="237"/>
      <c r="E559" s="237"/>
      <c r="F559" s="237"/>
      <c r="G559" s="237"/>
      <c r="H559" s="237"/>
      <c r="I559" s="238"/>
    </row>
    <row r="561" spans="2:9">
      <c r="B561" s="110" t="s">
        <v>1409</v>
      </c>
    </row>
    <row r="562" spans="2:9">
      <c r="B562" s="107" t="s">
        <v>79</v>
      </c>
      <c r="C562" s="108">
        <v>2017</v>
      </c>
      <c r="D562" s="108">
        <v>2018</v>
      </c>
      <c r="E562" s="108">
        <v>2019</v>
      </c>
      <c r="F562" s="108">
        <v>2020</v>
      </c>
      <c r="G562" s="108">
        <v>2021</v>
      </c>
    </row>
    <row r="563" spans="2:9">
      <c r="B563" s="107" t="s">
        <v>86</v>
      </c>
      <c r="C563" s="108">
        <v>1</v>
      </c>
      <c r="D563" s="108">
        <v>2</v>
      </c>
      <c r="E563" s="108">
        <v>3</v>
      </c>
      <c r="F563" s="108">
        <v>4</v>
      </c>
      <c r="G563" s="108">
        <v>5</v>
      </c>
    </row>
    <row r="564" spans="2:9">
      <c r="B564" s="107" t="s">
        <v>758</v>
      </c>
      <c r="C564" s="187">
        <v>522</v>
      </c>
      <c r="D564" s="108">
        <v>560</v>
      </c>
      <c r="E564" s="108">
        <v>603</v>
      </c>
      <c r="F564" s="108">
        <v>640</v>
      </c>
      <c r="G564" s="108">
        <v>692</v>
      </c>
    </row>
    <row r="565" spans="2:9">
      <c r="B565" s="107" t="s">
        <v>88</v>
      </c>
      <c r="C565" s="109">
        <v>0.15</v>
      </c>
      <c r="D565" s="109">
        <v>0.15</v>
      </c>
      <c r="E565" s="109">
        <v>0.15</v>
      </c>
      <c r="F565" s="109">
        <v>0.15</v>
      </c>
      <c r="G565" s="109">
        <v>0.15</v>
      </c>
    </row>
    <row r="566" spans="2:9">
      <c r="B566" s="107" t="s">
        <v>134</v>
      </c>
      <c r="C566" s="4">
        <f>C564/(1+C565)^C563</f>
        <v>453.91304347826093</v>
      </c>
      <c r="D566" s="4">
        <f>D564/(1+D565)^D563</f>
        <v>423.44045368620044</v>
      </c>
      <c r="E566" s="4">
        <f>E564/(1+E565)^E563</f>
        <v>396.48228815648901</v>
      </c>
      <c r="F566" s="4">
        <f>F564/(1+F565)^F563</f>
        <v>365.92207717954136</v>
      </c>
      <c r="G566" s="4">
        <f>G564/(1+G565)^G563</f>
        <v>344.0463008264166</v>
      </c>
    </row>
    <row r="567" spans="2:9">
      <c r="B567" s="107" t="s">
        <v>1410</v>
      </c>
      <c r="C567" s="54">
        <f>SUM(C566:G566)</f>
        <v>1983.8041633269083</v>
      </c>
    </row>
    <row r="568" spans="2:9">
      <c r="B568" s="107" t="s">
        <v>1640</v>
      </c>
      <c r="C568" s="54">
        <f>NPV(C565,C564:G564)</f>
        <v>1983.8041633269086</v>
      </c>
    </row>
    <row r="569" spans="2:9">
      <c r="B569" s="107" t="s">
        <v>1411</v>
      </c>
      <c r="C569" s="188">
        <f>C564/C567</f>
        <v>0.2631308118259959</v>
      </c>
    </row>
    <row r="572" spans="2:9" ht="19.5" thickBot="1"/>
    <row r="573" spans="2:9" ht="40.5" customHeight="1" thickBot="1">
      <c r="B573" s="236" t="s">
        <v>1412</v>
      </c>
      <c r="C573" s="237"/>
      <c r="D573" s="237"/>
      <c r="E573" s="237"/>
      <c r="F573" s="237"/>
      <c r="G573" s="237"/>
      <c r="H573" s="237"/>
      <c r="I573" s="238"/>
    </row>
    <row r="575" spans="2:9">
      <c r="B575" s="107" t="s">
        <v>13</v>
      </c>
      <c r="C575" s="194">
        <v>471</v>
      </c>
    </row>
    <row r="576" spans="2:9">
      <c r="B576" s="107" t="s">
        <v>758</v>
      </c>
      <c r="C576" s="107">
        <v>100</v>
      </c>
      <c r="E576" s="139"/>
    </row>
    <row r="577" spans="2:10">
      <c r="B577" s="107" t="s">
        <v>852</v>
      </c>
      <c r="C577" s="112">
        <v>0.05</v>
      </c>
    </row>
    <row r="578" spans="2:10">
      <c r="B578" s="107" t="s">
        <v>88</v>
      </c>
      <c r="C578" s="112">
        <v>0.15</v>
      </c>
    </row>
    <row r="580" spans="2:10">
      <c r="B580" s="107" t="s">
        <v>79</v>
      </c>
      <c r="C580" s="108">
        <v>1</v>
      </c>
      <c r="D580" s="108">
        <v>2</v>
      </c>
      <c r="E580" s="108">
        <v>3</v>
      </c>
      <c r="F580" s="108">
        <v>4</v>
      </c>
      <c r="G580" s="108">
        <v>5</v>
      </c>
      <c r="H580" s="108">
        <v>6</v>
      </c>
      <c r="I580" s="189">
        <v>7</v>
      </c>
      <c r="J580" s="108">
        <v>8</v>
      </c>
    </row>
    <row r="581" spans="2:10">
      <c r="B581" s="107" t="s">
        <v>758</v>
      </c>
      <c r="C581" s="190">
        <v>100</v>
      </c>
      <c r="D581" s="190">
        <f t="shared" ref="D581:J581" si="20">C581*1.05</f>
        <v>105</v>
      </c>
      <c r="E581" s="190">
        <f t="shared" si="20"/>
        <v>110.25</v>
      </c>
      <c r="F581" s="190">
        <f t="shared" si="20"/>
        <v>115.7625</v>
      </c>
      <c r="G581" s="190">
        <f t="shared" si="20"/>
        <v>121.55062500000001</v>
      </c>
      <c r="H581" s="190">
        <f t="shared" si="20"/>
        <v>127.62815625000002</v>
      </c>
      <c r="I581" s="190">
        <f t="shared" si="20"/>
        <v>134.00956406250003</v>
      </c>
      <c r="J581" s="190">
        <f t="shared" si="20"/>
        <v>140.71004226562505</v>
      </c>
    </row>
    <row r="582" spans="2:10">
      <c r="B582" s="107" t="s">
        <v>88</v>
      </c>
      <c r="C582" s="109">
        <v>0.15</v>
      </c>
      <c r="D582" s="109">
        <v>0.15</v>
      </c>
      <c r="E582" s="109">
        <v>0.15</v>
      </c>
      <c r="F582" s="109">
        <v>0.15</v>
      </c>
      <c r="G582" s="109">
        <v>0.15</v>
      </c>
      <c r="H582" s="109">
        <v>0.15</v>
      </c>
      <c r="I582" s="109">
        <v>0.15</v>
      </c>
      <c r="J582" s="109">
        <v>0.15</v>
      </c>
    </row>
    <row r="583" spans="2:10">
      <c r="B583" s="107" t="s">
        <v>134</v>
      </c>
      <c r="C583" s="4">
        <f>C581/(1+C582)^C580</f>
        <v>86.956521739130437</v>
      </c>
      <c r="D583" s="4">
        <f t="shared" ref="D583:J583" si="21">D581/(1+D582)^D580</f>
        <v>79.395085066162579</v>
      </c>
      <c r="E583" s="4">
        <f t="shared" si="21"/>
        <v>72.491164625626723</v>
      </c>
      <c r="F583" s="4">
        <f t="shared" si="21"/>
        <v>66.187585092963531</v>
      </c>
      <c r="G583" s="4">
        <f t="shared" si="21"/>
        <v>60.432142910966704</v>
      </c>
      <c r="H583" s="4">
        <f t="shared" si="21"/>
        <v>55.177173962186998</v>
      </c>
      <c r="I583" s="4">
        <f t="shared" si="21"/>
        <v>50.379158835040322</v>
      </c>
      <c r="J583" s="4">
        <f t="shared" si="21"/>
        <v>45.998362414602035</v>
      </c>
    </row>
    <row r="584" spans="2:10">
      <c r="B584" s="107" t="s">
        <v>1413</v>
      </c>
      <c r="C584" s="108"/>
      <c r="D584" s="102">
        <f>C583+D583</f>
        <v>166.35160680529302</v>
      </c>
      <c r="E584" s="102">
        <f>C583+D583+E583</f>
        <v>238.84277143091975</v>
      </c>
      <c r="F584" s="102">
        <f>C583+D583+E583+F583</f>
        <v>305.03035652388326</v>
      </c>
      <c r="G584" s="102">
        <f>C583+D583+E583+F583+G583</f>
        <v>365.46249943484997</v>
      </c>
      <c r="H584" s="102">
        <f>C583+D583+E583+F583+G583+H583</f>
        <v>420.63967339703697</v>
      </c>
      <c r="I584" s="186">
        <f>C583+D583+E583+F583+G583+H583+I583</f>
        <v>471.01883223207727</v>
      </c>
      <c r="J584" s="84">
        <f>SUM(C583:J583)</f>
        <v>517.01719464667929</v>
      </c>
    </row>
    <row r="587" spans="2:10" ht="19.5" thickBot="1"/>
    <row r="588" spans="2:10" ht="183.75" customHeight="1" thickBot="1">
      <c r="B588" s="236" t="s">
        <v>1414</v>
      </c>
      <c r="C588" s="237"/>
      <c r="D588" s="237"/>
      <c r="E588" s="237"/>
      <c r="F588" s="237"/>
      <c r="G588" s="237"/>
      <c r="H588" s="237"/>
      <c r="I588" s="238"/>
    </row>
    <row r="590" spans="2:10">
      <c r="B590" s="161" t="s">
        <v>1415</v>
      </c>
    </row>
    <row r="591" spans="2:10">
      <c r="B591" s="105" t="s">
        <v>1416</v>
      </c>
    </row>
    <row r="592" spans="2:10">
      <c r="B592" s="105" t="s">
        <v>1417</v>
      </c>
    </row>
    <row r="593" spans="2:9">
      <c r="B593" s="105" t="s">
        <v>1418</v>
      </c>
    </row>
    <row r="594" spans="2:9">
      <c r="B594" s="154" t="s">
        <v>1419</v>
      </c>
    </row>
    <row r="597" spans="2:9" ht="19.5" thickBot="1"/>
    <row r="598" spans="2:9" ht="189" customHeight="1" thickBot="1">
      <c r="B598" s="236" t="s">
        <v>1420</v>
      </c>
      <c r="C598" s="237"/>
      <c r="D598" s="237"/>
      <c r="E598" s="237"/>
      <c r="F598" s="237"/>
      <c r="G598" s="237"/>
      <c r="H598" s="237"/>
      <c r="I598" s="238"/>
    </row>
    <row r="600" spans="2:9">
      <c r="B600" s="161" t="s">
        <v>1415</v>
      </c>
    </row>
    <row r="603" spans="2:9" ht="19.5" thickBot="1"/>
    <row r="604" spans="2:9" ht="43.5" customHeight="1" thickBot="1">
      <c r="B604" s="236" t="s">
        <v>1421</v>
      </c>
      <c r="C604" s="237"/>
      <c r="D604" s="237"/>
      <c r="E604" s="237"/>
      <c r="F604" s="237"/>
      <c r="G604" s="237"/>
      <c r="H604" s="237"/>
      <c r="I604" s="238"/>
    </row>
    <row r="606" spans="2:9">
      <c r="B606" s="107" t="s">
        <v>13</v>
      </c>
      <c r="C606" s="194">
        <v>435</v>
      </c>
    </row>
    <row r="607" spans="2:9">
      <c r="B607" s="107" t="s">
        <v>758</v>
      </c>
      <c r="C607" s="107">
        <v>100</v>
      </c>
    </row>
    <row r="608" spans="2:9">
      <c r="B608" s="107" t="s">
        <v>852</v>
      </c>
      <c r="C608" s="112">
        <v>0.05</v>
      </c>
      <c r="E608" s="146"/>
    </row>
    <row r="609" spans="2:9">
      <c r="B609" s="107" t="s">
        <v>88</v>
      </c>
      <c r="C609" s="112">
        <v>0.2</v>
      </c>
    </row>
    <row r="611" spans="2:9">
      <c r="B611" s="107" t="s">
        <v>79</v>
      </c>
      <c r="C611" s="108">
        <v>1</v>
      </c>
      <c r="D611" s="108">
        <v>2</v>
      </c>
      <c r="E611" s="108">
        <v>3</v>
      </c>
      <c r="F611" s="108">
        <v>4</v>
      </c>
      <c r="G611" s="108">
        <v>5</v>
      </c>
      <c r="H611" s="189">
        <v>6</v>
      </c>
      <c r="I611" s="108">
        <v>7</v>
      </c>
    </row>
    <row r="612" spans="2:9">
      <c r="B612" s="107" t="s">
        <v>758</v>
      </c>
      <c r="C612" s="190">
        <v>100</v>
      </c>
      <c r="D612" s="190">
        <f t="shared" ref="D612:I612" si="22">C612*1.05</f>
        <v>105</v>
      </c>
      <c r="E612" s="190">
        <f t="shared" si="22"/>
        <v>110.25</v>
      </c>
      <c r="F612" s="190">
        <f t="shared" si="22"/>
        <v>115.7625</v>
      </c>
      <c r="G612" s="190">
        <f t="shared" si="22"/>
        <v>121.55062500000001</v>
      </c>
      <c r="H612" s="190">
        <f t="shared" si="22"/>
        <v>127.62815625000002</v>
      </c>
      <c r="I612" s="190">
        <f t="shared" si="22"/>
        <v>134.00956406250003</v>
      </c>
    </row>
    <row r="613" spans="2:9">
      <c r="B613" s="107" t="s">
        <v>88</v>
      </c>
      <c r="C613" s="109">
        <v>0.2</v>
      </c>
      <c r="D613" s="109">
        <v>0.2</v>
      </c>
      <c r="E613" s="109">
        <v>0.2</v>
      </c>
      <c r="F613" s="109">
        <v>0.2</v>
      </c>
      <c r="G613" s="109">
        <v>0.2</v>
      </c>
      <c r="H613" s="109">
        <v>0.2</v>
      </c>
      <c r="I613" s="109">
        <v>0.2</v>
      </c>
    </row>
    <row r="614" spans="2:9">
      <c r="B614" s="107" t="s">
        <v>134</v>
      </c>
      <c r="C614" s="4">
        <f>C612/(1+C613)^(C611-1)</f>
        <v>100</v>
      </c>
      <c r="D614" s="4">
        <f t="shared" ref="D614:I614" si="23">D612/(1+D613)^(D611-1)</f>
        <v>87.5</v>
      </c>
      <c r="E614" s="4">
        <f t="shared" si="23"/>
        <v>76.5625</v>
      </c>
      <c r="F614" s="4">
        <f t="shared" si="23"/>
        <v>66.9921875</v>
      </c>
      <c r="G614" s="4">
        <f t="shared" si="23"/>
        <v>58.618164062500007</v>
      </c>
      <c r="H614" s="4">
        <f t="shared" si="23"/>
        <v>51.290893554687507</v>
      </c>
      <c r="I614" s="4">
        <f t="shared" si="23"/>
        <v>44.879531860351577</v>
      </c>
    </row>
    <row r="615" spans="2:9">
      <c r="B615" s="107" t="s">
        <v>1413</v>
      </c>
      <c r="C615" s="108"/>
      <c r="D615" s="102">
        <f>C614+D614</f>
        <v>187.5</v>
      </c>
      <c r="E615" s="102">
        <f>C614+D614+E614</f>
        <v>264.0625</v>
      </c>
      <c r="F615" s="102">
        <f>C614+D614+E614+F614</f>
        <v>331.0546875</v>
      </c>
      <c r="G615" s="102">
        <f>C614+D614+E614+F614+G614</f>
        <v>389.6728515625</v>
      </c>
      <c r="H615" s="186">
        <f>C614+D614+E614+F614+G614+H614</f>
        <v>440.9637451171875</v>
      </c>
      <c r="I615" s="191">
        <f>C614+D614+E614+F614+G614+H614+I614</f>
        <v>485.84327697753906</v>
      </c>
    </row>
    <row r="618" spans="2:9" ht="19.5" thickBot="1"/>
    <row r="619" spans="2:9" ht="41.25" customHeight="1" thickBot="1">
      <c r="B619" s="236" t="s">
        <v>1422</v>
      </c>
      <c r="C619" s="237"/>
      <c r="D619" s="237"/>
      <c r="E619" s="237"/>
      <c r="F619" s="237"/>
      <c r="G619" s="237"/>
      <c r="H619" s="237"/>
      <c r="I619" s="238"/>
    </row>
    <row r="621" spans="2:9">
      <c r="B621" s="107" t="s">
        <v>13</v>
      </c>
      <c r="C621" s="194">
        <v>477</v>
      </c>
    </row>
    <row r="622" spans="2:9">
      <c r="B622" s="107" t="s">
        <v>758</v>
      </c>
      <c r="C622" s="107">
        <v>100</v>
      </c>
    </row>
    <row r="623" spans="2:9">
      <c r="B623" s="107" t="s">
        <v>852</v>
      </c>
      <c r="C623" s="112">
        <v>0.05</v>
      </c>
    </row>
    <row r="624" spans="2:9">
      <c r="B624" s="107" t="s">
        <v>1423</v>
      </c>
      <c r="C624" s="112">
        <v>0.15</v>
      </c>
    </row>
    <row r="625" spans="2:12">
      <c r="C625" s="139"/>
    </row>
    <row r="626" spans="2:12">
      <c r="B626" s="107" t="s">
        <v>1424</v>
      </c>
      <c r="C626" s="15">
        <f>NPER(C624,-C622,C621)</f>
        <v>8.9940222928611444</v>
      </c>
      <c r="D626" s="110" t="s">
        <v>1427</v>
      </c>
    </row>
    <row r="627" spans="2:12">
      <c r="C627" s="139"/>
    </row>
    <row r="629" spans="2:12">
      <c r="B629" s="107" t="s">
        <v>79</v>
      </c>
      <c r="C629" s="108">
        <v>1</v>
      </c>
      <c r="D629" s="108">
        <v>2</v>
      </c>
      <c r="E629" s="108">
        <v>3</v>
      </c>
      <c r="F629" s="108">
        <v>4</v>
      </c>
      <c r="G629" s="108">
        <v>5</v>
      </c>
      <c r="H629" s="108">
        <v>6</v>
      </c>
      <c r="I629" s="108">
        <v>7</v>
      </c>
      <c r="J629" s="108">
        <v>8</v>
      </c>
      <c r="K629" s="189">
        <v>9</v>
      </c>
      <c r="L629" s="108">
        <v>10</v>
      </c>
    </row>
    <row r="630" spans="2:12">
      <c r="B630" s="107" t="s">
        <v>758</v>
      </c>
      <c r="C630" s="190">
        <v>100</v>
      </c>
      <c r="D630" s="190">
        <v>100</v>
      </c>
      <c r="E630" s="190">
        <v>100</v>
      </c>
      <c r="F630" s="190">
        <v>100</v>
      </c>
      <c r="G630" s="190">
        <v>100</v>
      </c>
      <c r="H630" s="190">
        <v>100</v>
      </c>
      <c r="I630" s="190">
        <v>100</v>
      </c>
      <c r="J630" s="190">
        <v>100</v>
      </c>
      <c r="K630" s="190">
        <v>100</v>
      </c>
      <c r="L630" s="190">
        <v>100</v>
      </c>
    </row>
    <row r="631" spans="2:12">
      <c r="B631" s="107" t="s">
        <v>88</v>
      </c>
      <c r="C631" s="109">
        <v>0.15</v>
      </c>
      <c r="D631" s="109">
        <v>0.15</v>
      </c>
      <c r="E631" s="109">
        <v>0.15</v>
      </c>
      <c r="F631" s="109">
        <v>0.15</v>
      </c>
      <c r="G631" s="109">
        <v>0.15</v>
      </c>
      <c r="H631" s="109">
        <v>0.15</v>
      </c>
      <c r="I631" s="109">
        <v>0.15</v>
      </c>
      <c r="J631" s="109">
        <v>0.15</v>
      </c>
      <c r="K631" s="109">
        <v>0.15</v>
      </c>
      <c r="L631" s="109">
        <v>0.15</v>
      </c>
    </row>
    <row r="632" spans="2:12">
      <c r="B632" s="107" t="s">
        <v>134</v>
      </c>
      <c r="C632" s="4">
        <f>C630/(1+C631)^C629</f>
        <v>86.956521739130437</v>
      </c>
      <c r="D632" s="4">
        <f t="shared" ref="D632" si="24">D630/(1+D631)^D629</f>
        <v>75.61436672967865</v>
      </c>
      <c r="E632" s="4">
        <f t="shared" ref="E632" si="25">E630/(1+E631)^E629</f>
        <v>65.751623243198836</v>
      </c>
      <c r="F632" s="4">
        <f t="shared" ref="F632" si="26">F630/(1+F631)^F629</f>
        <v>57.175324559303334</v>
      </c>
      <c r="G632" s="4">
        <f t="shared" ref="G632" si="27">G630/(1+G631)^G629</f>
        <v>49.717673529828986</v>
      </c>
      <c r="H632" s="4">
        <f t="shared" ref="H632" si="28">H630/(1+H631)^H629</f>
        <v>43.232759591155649</v>
      </c>
      <c r="I632" s="4">
        <f t="shared" ref="I632" si="29">I630/(1+I631)^I629</f>
        <v>37.593703992309266</v>
      </c>
      <c r="J632" s="4">
        <f t="shared" ref="J632:L632" si="30">J630/(1+J631)^J629</f>
        <v>32.690177384616753</v>
      </c>
      <c r="K632" s="4">
        <f t="shared" si="30"/>
        <v>28.426241204014573</v>
      </c>
      <c r="L632" s="4">
        <f t="shared" si="30"/>
        <v>24.718470612186586</v>
      </c>
    </row>
    <row r="633" spans="2:12">
      <c r="B633" s="107" t="s">
        <v>1413</v>
      </c>
      <c r="C633" s="108"/>
      <c r="D633" s="4">
        <f>C632+D632</f>
        <v>162.57088846880907</v>
      </c>
      <c r="E633" s="4">
        <f>C632+D632+E632</f>
        <v>228.32251171200789</v>
      </c>
      <c r="F633" s="4">
        <f>C632+D632+E632+F632</f>
        <v>285.49783627131126</v>
      </c>
      <c r="G633" s="4">
        <f>C632+D632+E632+F632+G632</f>
        <v>335.21550980114023</v>
      </c>
      <c r="H633" s="4">
        <f>C632+D632+E632+F632+G632+H632</f>
        <v>378.44826939229586</v>
      </c>
      <c r="I633" s="4">
        <f>C632+D632+E632+F632+G632+H632+I632</f>
        <v>416.04197338460511</v>
      </c>
      <c r="J633" s="192">
        <f>SUM(C632:J632)</f>
        <v>448.73215076922185</v>
      </c>
      <c r="K633" s="193">
        <f>SUM(C632:K632)</f>
        <v>477.15839197323641</v>
      </c>
      <c r="L633" s="191">
        <f>SUM(C632:L632)</f>
        <v>501.876862585423</v>
      </c>
    </row>
    <row r="634" spans="2:12">
      <c r="B634" s="118" t="s">
        <v>1426</v>
      </c>
    </row>
    <row r="636" spans="2:12" ht="19.5" thickBot="1"/>
    <row r="637" spans="2:12" ht="79.5" customHeight="1" thickBot="1">
      <c r="B637" s="236" t="s">
        <v>1425</v>
      </c>
      <c r="C637" s="237"/>
      <c r="D637" s="237"/>
      <c r="E637" s="237"/>
      <c r="F637" s="237"/>
      <c r="G637" s="237"/>
      <c r="H637" s="237"/>
      <c r="I637" s="238"/>
    </row>
    <row r="639" spans="2:12">
      <c r="B639" s="107" t="s">
        <v>86</v>
      </c>
      <c r="C639" s="108">
        <v>1</v>
      </c>
      <c r="D639" s="108">
        <v>2</v>
      </c>
      <c r="E639" s="108">
        <v>3</v>
      </c>
      <c r="F639" s="108">
        <v>4</v>
      </c>
      <c r="G639" s="108">
        <v>5</v>
      </c>
      <c r="H639" s="108">
        <v>6</v>
      </c>
    </row>
    <row r="640" spans="2:12">
      <c r="B640" s="107" t="s">
        <v>758</v>
      </c>
      <c r="C640" s="4">
        <v>-200000</v>
      </c>
      <c r="D640" s="4">
        <f>100000*1.05</f>
        <v>105000</v>
      </c>
      <c r="E640" s="4">
        <f>D640*1.05</f>
        <v>110250</v>
      </c>
      <c r="F640" s="4">
        <f>E640*1.05</f>
        <v>115762.5</v>
      </c>
      <c r="G640" s="4">
        <f>F640*1.05</f>
        <v>121550.625</v>
      </c>
      <c r="H640" s="4">
        <f>G640*1.05</f>
        <v>127628.15625</v>
      </c>
    </row>
    <row r="641" spans="2:9">
      <c r="B641" s="107" t="s">
        <v>88</v>
      </c>
      <c r="C641" s="109">
        <v>0.15</v>
      </c>
      <c r="D641" s="109">
        <v>0.15</v>
      </c>
      <c r="E641" s="109">
        <v>0.15</v>
      </c>
      <c r="F641" s="109">
        <v>0.15</v>
      </c>
      <c r="G641" s="109">
        <v>0.15</v>
      </c>
      <c r="H641" s="109">
        <v>0.15</v>
      </c>
    </row>
    <row r="642" spans="2:9">
      <c r="B642" s="107" t="s">
        <v>134</v>
      </c>
      <c r="C642" s="4">
        <f t="shared" ref="C642:H642" si="31">C640/(1+C641)^(C639-0.5)</f>
        <v>-186500.96164806274</v>
      </c>
      <c r="D642" s="4">
        <f t="shared" si="31"/>
        <v>85141.743361072135</v>
      </c>
      <c r="E642" s="4">
        <f t="shared" si="31"/>
        <v>77738.113503587607</v>
      </c>
      <c r="F642" s="4">
        <f t="shared" si="31"/>
        <v>70978.277546753903</v>
      </c>
      <c r="G642" s="4">
        <f t="shared" si="31"/>
        <v>64806.253412253573</v>
      </c>
      <c r="H642" s="4">
        <f t="shared" si="31"/>
        <v>59170.927028579354</v>
      </c>
    </row>
    <row r="643" spans="2:9">
      <c r="B643" s="107" t="s">
        <v>23</v>
      </c>
      <c r="C643" s="172">
        <f>SUM(C642:H642)</f>
        <v>171334.35320418383</v>
      </c>
    </row>
    <row r="645" spans="2:9" ht="19.5" thickBot="1"/>
    <row r="646" spans="2:9" ht="204" customHeight="1" thickBot="1">
      <c r="B646" s="236" t="s">
        <v>1626</v>
      </c>
      <c r="C646" s="237"/>
      <c r="D646" s="237"/>
      <c r="E646" s="237"/>
      <c r="F646" s="237"/>
      <c r="G646" s="237"/>
      <c r="H646" s="237"/>
      <c r="I646" s="238"/>
    </row>
    <row r="648" spans="2:9">
      <c r="B648" s="107"/>
      <c r="C648" s="108">
        <v>2017</v>
      </c>
      <c r="D648" s="108">
        <v>2018</v>
      </c>
      <c r="E648" s="108">
        <v>2019</v>
      </c>
      <c r="F648" s="108">
        <v>2020</v>
      </c>
      <c r="G648" s="108">
        <v>2021</v>
      </c>
      <c r="H648" s="108">
        <v>2022</v>
      </c>
    </row>
    <row r="649" spans="2:9">
      <c r="B649" s="107" t="s">
        <v>832</v>
      </c>
      <c r="C649" s="108">
        <v>1.08</v>
      </c>
      <c r="D649" s="108">
        <v>1.06</v>
      </c>
      <c r="E649" s="108">
        <v>1.05</v>
      </c>
      <c r="F649" s="108">
        <v>1.03</v>
      </c>
      <c r="G649" s="108">
        <v>1.03</v>
      </c>
      <c r="H649" s="108">
        <v>1.03</v>
      </c>
    </row>
    <row r="650" spans="2:9">
      <c r="B650" s="107" t="s">
        <v>833</v>
      </c>
      <c r="C650" s="108">
        <v>1.1000000000000001</v>
      </c>
      <c r="D650" s="108">
        <v>1.08</v>
      </c>
      <c r="E650" s="108">
        <v>1.06</v>
      </c>
      <c r="F650" s="108">
        <v>1.04</v>
      </c>
      <c r="G650" s="108">
        <v>1.04</v>
      </c>
      <c r="H650" s="108">
        <v>1.04</v>
      </c>
    </row>
    <row r="651" spans="2:9">
      <c r="B651" s="107" t="s">
        <v>834</v>
      </c>
      <c r="C651" s="108">
        <v>1.04</v>
      </c>
      <c r="D651" s="108">
        <v>1.05</v>
      </c>
      <c r="E651" s="108">
        <v>1.08</v>
      </c>
      <c r="F651" s="108">
        <v>1.0900000000000001</v>
      </c>
      <c r="G651" s="108">
        <v>1.07</v>
      </c>
      <c r="H651" s="108">
        <v>1.06</v>
      </c>
    </row>
    <row r="653" spans="2:9">
      <c r="B653" s="107" t="s">
        <v>86</v>
      </c>
      <c r="C653" s="108"/>
      <c r="D653" s="108"/>
      <c r="E653" s="220">
        <v>1</v>
      </c>
      <c r="F653" s="220">
        <v>2</v>
      </c>
      <c r="G653" s="220">
        <v>3</v>
      </c>
      <c r="H653" s="220">
        <v>4</v>
      </c>
    </row>
    <row r="654" spans="2:9">
      <c r="B654" s="107" t="s">
        <v>824</v>
      </c>
      <c r="C654" s="115">
        <v>11</v>
      </c>
      <c r="D654" s="115">
        <v>11</v>
      </c>
      <c r="E654" s="115">
        <v>11</v>
      </c>
      <c r="F654" s="115">
        <v>8</v>
      </c>
      <c r="G654" s="115">
        <v>9</v>
      </c>
      <c r="H654" s="115">
        <v>9</v>
      </c>
    </row>
    <row r="655" spans="2:9">
      <c r="B655" s="107" t="s">
        <v>820</v>
      </c>
      <c r="C655" s="108">
        <v>100</v>
      </c>
      <c r="D655" s="108">
        <v>100</v>
      </c>
      <c r="E655" s="108">
        <v>100</v>
      </c>
      <c r="F655" s="108">
        <v>100</v>
      </c>
      <c r="G655" s="108">
        <v>100</v>
      </c>
      <c r="H655" s="108">
        <v>100</v>
      </c>
    </row>
    <row r="656" spans="2:9">
      <c r="B656" s="107" t="s">
        <v>825</v>
      </c>
      <c r="C656" s="108">
        <f>C654*C655</f>
        <v>1100</v>
      </c>
      <c r="D656" s="108">
        <f t="shared" ref="D656:H656" si="32">D654*D655</f>
        <v>1100</v>
      </c>
      <c r="E656" s="108">
        <f t="shared" si="32"/>
        <v>1100</v>
      </c>
      <c r="F656" s="108">
        <f t="shared" si="32"/>
        <v>800</v>
      </c>
      <c r="G656" s="108">
        <f t="shared" si="32"/>
        <v>900</v>
      </c>
      <c r="H656" s="108">
        <f t="shared" si="32"/>
        <v>900</v>
      </c>
    </row>
    <row r="657" spans="2:9">
      <c r="B657" s="107" t="s">
        <v>819</v>
      </c>
      <c r="C657" s="4">
        <v>500</v>
      </c>
      <c r="D657" s="4">
        <f>C657*D658</f>
        <v>530</v>
      </c>
      <c r="E657" s="4">
        <f>D657*E658</f>
        <v>556.5</v>
      </c>
      <c r="F657" s="4">
        <f>E657*F658</f>
        <v>573.19500000000005</v>
      </c>
      <c r="G657" s="4">
        <f>F657*G658</f>
        <v>590.39085000000011</v>
      </c>
      <c r="H657" s="4">
        <f>G657*H658</f>
        <v>608.10257550000017</v>
      </c>
    </row>
    <row r="658" spans="2:9">
      <c r="B658" s="107" t="s">
        <v>826</v>
      </c>
      <c r="C658" s="115"/>
      <c r="D658" s="108">
        <v>1.06</v>
      </c>
      <c r="E658" s="108">
        <v>1.05</v>
      </c>
      <c r="F658" s="108">
        <v>1.03</v>
      </c>
      <c r="G658" s="108">
        <v>1.03</v>
      </c>
      <c r="H658" s="108">
        <v>1.03</v>
      </c>
    </row>
    <row r="659" spans="2:9">
      <c r="B659" s="107" t="s">
        <v>780</v>
      </c>
      <c r="C659" s="4">
        <f t="shared" ref="C659:H659" si="33">C657*C656</f>
        <v>550000</v>
      </c>
      <c r="D659" s="4">
        <f t="shared" si="33"/>
        <v>583000</v>
      </c>
      <c r="E659" s="4">
        <f t="shared" si="33"/>
        <v>612150</v>
      </c>
      <c r="F659" s="4">
        <f t="shared" si="33"/>
        <v>458556.00000000006</v>
      </c>
      <c r="G659" s="4">
        <f t="shared" si="33"/>
        <v>531351.76500000013</v>
      </c>
      <c r="H659" s="4">
        <f t="shared" si="33"/>
        <v>547292.31795000017</v>
      </c>
    </row>
    <row r="660" spans="2:9">
      <c r="B660" s="107" t="s">
        <v>821</v>
      </c>
      <c r="C660" s="108">
        <v>130</v>
      </c>
      <c r="D660" s="108"/>
      <c r="E660" s="108"/>
      <c r="F660" s="108"/>
      <c r="G660" s="108"/>
      <c r="H660" s="108"/>
    </row>
    <row r="661" spans="2:9">
      <c r="B661" s="107" t="s">
        <v>826</v>
      </c>
      <c r="C661" s="115"/>
      <c r="D661" s="108">
        <v>1.08</v>
      </c>
      <c r="E661" s="108">
        <v>1.06</v>
      </c>
      <c r="F661" s="108">
        <v>1.04</v>
      </c>
      <c r="G661" s="108">
        <v>1.04</v>
      </c>
      <c r="H661" s="108">
        <v>1.04</v>
      </c>
    </row>
    <row r="662" spans="2:9">
      <c r="B662" s="107" t="s">
        <v>828</v>
      </c>
      <c r="C662" s="4">
        <f>C660</f>
        <v>130</v>
      </c>
      <c r="D662" s="4">
        <f>C662*D661</f>
        <v>140.4</v>
      </c>
      <c r="E662" s="4">
        <f>D662*E661</f>
        <v>148.82400000000001</v>
      </c>
      <c r="F662" s="4">
        <f>E662*F661</f>
        <v>154.77696000000003</v>
      </c>
      <c r="G662" s="4">
        <f>F662*G661</f>
        <v>160.96803840000004</v>
      </c>
      <c r="H662" s="4">
        <f>G662*H661</f>
        <v>167.40675993600004</v>
      </c>
    </row>
    <row r="663" spans="2:9">
      <c r="B663" s="107" t="s">
        <v>822</v>
      </c>
      <c r="C663" s="4">
        <f t="shared" ref="C663:H663" si="34">C656*C662</f>
        <v>143000</v>
      </c>
      <c r="D663" s="4">
        <f t="shared" si="34"/>
        <v>154440</v>
      </c>
      <c r="E663" s="4">
        <f t="shared" si="34"/>
        <v>163706.40000000002</v>
      </c>
      <c r="F663" s="4">
        <f t="shared" si="34"/>
        <v>123821.56800000003</v>
      </c>
      <c r="G663" s="4">
        <f t="shared" si="34"/>
        <v>144871.23456000004</v>
      </c>
      <c r="H663" s="4">
        <f t="shared" si="34"/>
        <v>150666.08394240003</v>
      </c>
    </row>
    <row r="664" spans="2:9">
      <c r="B664" s="107" t="s">
        <v>829</v>
      </c>
      <c r="C664" s="4">
        <v>10000</v>
      </c>
      <c r="D664" s="4">
        <f>C664*D661</f>
        <v>10800</v>
      </c>
      <c r="E664" s="4">
        <f>D664*E661</f>
        <v>11448</v>
      </c>
      <c r="F664" s="4">
        <f>E664*F661</f>
        <v>11905.92</v>
      </c>
      <c r="G664" s="4">
        <f>F664*G661</f>
        <v>12382.156800000001</v>
      </c>
      <c r="H664" s="4">
        <f>G664*H661</f>
        <v>12877.443072000002</v>
      </c>
    </row>
    <row r="665" spans="2:9">
      <c r="B665" s="107" t="s">
        <v>823</v>
      </c>
      <c r="C665" s="107"/>
      <c r="D665" s="107"/>
      <c r="E665" s="107"/>
      <c r="F665" s="102">
        <v>800000</v>
      </c>
      <c r="G665" s="107"/>
      <c r="H665" s="107"/>
    </row>
    <row r="666" spans="2:9">
      <c r="B666" s="107" t="s">
        <v>783</v>
      </c>
      <c r="C666" s="4">
        <f>C659-C663-C664</f>
        <v>397000</v>
      </c>
      <c r="D666" s="4">
        <f>D659-D663-D664</f>
        <v>417760</v>
      </c>
      <c r="E666" s="4">
        <f>E659-E663-E664</f>
        <v>436995.6</v>
      </c>
      <c r="F666" s="4">
        <f>F659-F663-F664-F665</f>
        <v>-477171.48799999995</v>
      </c>
      <c r="G666" s="4">
        <f>G659-G663-G664</f>
        <v>374098.37364000012</v>
      </c>
      <c r="H666" s="4">
        <f>H659-H663-H664</f>
        <v>383748.79093560012</v>
      </c>
    </row>
    <row r="667" spans="2:9">
      <c r="B667" s="107" t="s">
        <v>88</v>
      </c>
      <c r="C667" s="109"/>
      <c r="D667" s="109"/>
      <c r="E667" s="109">
        <v>0.2</v>
      </c>
      <c r="F667" s="109">
        <v>0.2</v>
      </c>
      <c r="G667" s="109">
        <v>0.2</v>
      </c>
      <c r="H667" s="109">
        <v>0.2</v>
      </c>
    </row>
    <row r="668" spans="2:9">
      <c r="B668" s="107" t="s">
        <v>134</v>
      </c>
      <c r="C668" s="4"/>
      <c r="D668" s="4"/>
      <c r="E668" s="4">
        <f t="shared" ref="E668:H668" si="35">E666/(1+E667)^(E653-0.5)</f>
        <v>398920.57941750763</v>
      </c>
      <c r="F668" s="4">
        <f t="shared" si="35"/>
        <v>-362996.64968875784</v>
      </c>
      <c r="G668" s="4">
        <f t="shared" si="35"/>
        <v>237155.22913035197</v>
      </c>
      <c r="H668" s="4">
        <f t="shared" si="35"/>
        <v>202727.49730976296</v>
      </c>
      <c r="I668" s="11">
        <f>SUM(C668:H668)</f>
        <v>475806.65616886469</v>
      </c>
    </row>
    <row r="670" spans="2:9">
      <c r="C670" s="110" t="s">
        <v>1607</v>
      </c>
    </row>
    <row r="671" spans="2:9">
      <c r="C671" s="110" t="s">
        <v>1608</v>
      </c>
    </row>
    <row r="673" spans="2:9" ht="19.5" thickBot="1"/>
    <row r="674" spans="2:9" ht="214.5" customHeight="1" thickBot="1">
      <c r="B674" s="236" t="s">
        <v>1625</v>
      </c>
      <c r="C674" s="237"/>
      <c r="D674" s="237"/>
      <c r="E674" s="237"/>
      <c r="F674" s="237"/>
      <c r="G674" s="237"/>
      <c r="H674" s="237"/>
      <c r="I674" s="238"/>
    </row>
    <row r="676" spans="2:9">
      <c r="B676" s="224"/>
      <c r="C676" s="108">
        <v>2017</v>
      </c>
      <c r="D676" s="108">
        <v>2018</v>
      </c>
      <c r="E676" s="108">
        <v>2019</v>
      </c>
      <c r="F676" s="108">
        <v>2020</v>
      </c>
      <c r="G676" s="108">
        <v>2021</v>
      </c>
      <c r="H676" s="108">
        <v>2022</v>
      </c>
    </row>
    <row r="677" spans="2:9">
      <c r="B677" s="107" t="s">
        <v>832</v>
      </c>
      <c r="C677" s="108">
        <v>1.0900000000000001</v>
      </c>
      <c r="D677" s="108">
        <v>1.06</v>
      </c>
      <c r="E677" s="108">
        <v>1.04</v>
      </c>
      <c r="F677" s="108">
        <v>1.04</v>
      </c>
      <c r="G677" s="108">
        <v>1.04</v>
      </c>
      <c r="H677" s="108">
        <v>1.04</v>
      </c>
    </row>
    <row r="678" spans="2:9">
      <c r="B678" s="107" t="s">
        <v>1609</v>
      </c>
      <c r="C678" s="108">
        <v>1.1000000000000001</v>
      </c>
      <c r="D678" s="108">
        <v>1.05</v>
      </c>
      <c r="E678" s="108">
        <v>1.03</v>
      </c>
      <c r="F678" s="108">
        <v>1.03</v>
      </c>
      <c r="G678" s="108">
        <v>1.03</v>
      </c>
      <c r="H678" s="108">
        <v>1.03</v>
      </c>
    </row>
    <row r="679" spans="2:9">
      <c r="B679" s="107" t="s">
        <v>1610</v>
      </c>
      <c r="C679" s="108">
        <v>1.1100000000000001</v>
      </c>
      <c r="D679" s="108">
        <v>1.04</v>
      </c>
      <c r="E679" s="108">
        <v>1.04</v>
      </c>
      <c r="F679" s="108">
        <v>1.03</v>
      </c>
      <c r="G679" s="108">
        <v>1.03</v>
      </c>
      <c r="H679" s="108">
        <v>1.03</v>
      </c>
    </row>
    <row r="681" spans="2:9">
      <c r="B681" s="107" t="s">
        <v>86</v>
      </c>
      <c r="C681" s="108">
        <v>1</v>
      </c>
      <c r="D681" s="108">
        <v>2</v>
      </c>
      <c r="E681" s="108">
        <v>3</v>
      </c>
      <c r="F681" s="108">
        <v>4</v>
      </c>
      <c r="G681" s="108">
        <v>5</v>
      </c>
      <c r="H681" s="108">
        <v>6</v>
      </c>
    </row>
    <row r="682" spans="2:9">
      <c r="B682" s="107" t="s">
        <v>824</v>
      </c>
      <c r="C682" s="115">
        <v>10</v>
      </c>
      <c r="D682" s="115">
        <v>10</v>
      </c>
      <c r="E682" s="115">
        <v>10</v>
      </c>
      <c r="F682" s="115">
        <v>8</v>
      </c>
      <c r="G682" s="115">
        <v>9</v>
      </c>
      <c r="H682" s="115">
        <v>9</v>
      </c>
    </row>
    <row r="683" spans="2:9">
      <c r="B683" s="107" t="s">
        <v>820</v>
      </c>
      <c r="C683" s="108">
        <v>800</v>
      </c>
      <c r="D683" s="108">
        <v>800</v>
      </c>
      <c r="E683" s="108">
        <v>800</v>
      </c>
      <c r="F683" s="108">
        <v>800</v>
      </c>
      <c r="G683" s="108">
        <v>800</v>
      </c>
      <c r="H683" s="108">
        <v>800</v>
      </c>
    </row>
    <row r="684" spans="2:9">
      <c r="B684" s="107" t="s">
        <v>825</v>
      </c>
      <c r="C684" s="108">
        <f>C682*C683</f>
        <v>8000</v>
      </c>
      <c r="D684" s="108">
        <f t="shared" ref="D684:H684" si="36">D682*D683</f>
        <v>8000</v>
      </c>
      <c r="E684" s="108">
        <f t="shared" si="36"/>
        <v>8000</v>
      </c>
      <c r="F684" s="108">
        <f t="shared" si="36"/>
        <v>6400</v>
      </c>
      <c r="G684" s="108">
        <f t="shared" si="36"/>
        <v>7200</v>
      </c>
      <c r="H684" s="108">
        <f t="shared" si="36"/>
        <v>7200</v>
      </c>
    </row>
    <row r="685" spans="2:9">
      <c r="B685" s="107" t="s">
        <v>819</v>
      </c>
      <c r="C685" s="4">
        <v>1000</v>
      </c>
      <c r="D685" s="4">
        <f>C685*D686</f>
        <v>1060</v>
      </c>
      <c r="E685" s="4">
        <f>D685*E686</f>
        <v>1102.4000000000001</v>
      </c>
      <c r="F685" s="4">
        <f>E685*F686</f>
        <v>1146.4960000000001</v>
      </c>
      <c r="G685" s="4">
        <f>F685*G686</f>
        <v>1192.3558400000002</v>
      </c>
      <c r="H685" s="4">
        <f>G685*H686</f>
        <v>1240.0500736000001</v>
      </c>
    </row>
    <row r="686" spans="2:9">
      <c r="B686" s="107" t="s">
        <v>826</v>
      </c>
      <c r="C686" s="115"/>
      <c r="D686" s="108">
        <f>D677</f>
        <v>1.06</v>
      </c>
      <c r="E686" s="108">
        <f t="shared" ref="E686:H686" si="37">E677</f>
        <v>1.04</v>
      </c>
      <c r="F686" s="108">
        <f t="shared" si="37"/>
        <v>1.04</v>
      </c>
      <c r="G686" s="108">
        <f t="shared" si="37"/>
        <v>1.04</v>
      </c>
      <c r="H686" s="108">
        <f t="shared" si="37"/>
        <v>1.04</v>
      </c>
    </row>
    <row r="687" spans="2:9">
      <c r="B687" s="107" t="s">
        <v>780</v>
      </c>
      <c r="C687" s="4">
        <f t="shared" ref="C687:H687" si="38">C685*C684</f>
        <v>8000000</v>
      </c>
      <c r="D687" s="4">
        <f t="shared" si="38"/>
        <v>8480000</v>
      </c>
      <c r="E687" s="4">
        <f t="shared" si="38"/>
        <v>8819200</v>
      </c>
      <c r="F687" s="4">
        <f t="shared" si="38"/>
        <v>7337574.4000000004</v>
      </c>
      <c r="G687" s="4">
        <f t="shared" si="38"/>
        <v>8584962.0480000004</v>
      </c>
      <c r="H687" s="4">
        <f t="shared" si="38"/>
        <v>8928360.5299200006</v>
      </c>
    </row>
    <row r="688" spans="2:9">
      <c r="B688" s="107" t="s">
        <v>821</v>
      </c>
      <c r="C688" s="108">
        <v>600</v>
      </c>
      <c r="D688" s="108"/>
      <c r="E688" s="108"/>
      <c r="F688" s="108"/>
      <c r="G688" s="108"/>
      <c r="H688" s="108"/>
    </row>
    <row r="689" spans="2:9">
      <c r="B689" s="107" t="s">
        <v>826</v>
      </c>
      <c r="C689" s="115"/>
      <c r="D689" s="108">
        <f>D678</f>
        <v>1.05</v>
      </c>
      <c r="E689" s="108">
        <f t="shared" ref="E689:H689" si="39">E678</f>
        <v>1.03</v>
      </c>
      <c r="F689" s="108">
        <f t="shared" si="39"/>
        <v>1.03</v>
      </c>
      <c r="G689" s="108">
        <f t="shared" si="39"/>
        <v>1.03</v>
      </c>
      <c r="H689" s="108">
        <f t="shared" si="39"/>
        <v>1.03</v>
      </c>
    </row>
    <row r="690" spans="2:9">
      <c r="B690" s="107" t="s">
        <v>828</v>
      </c>
      <c r="C690" s="4">
        <f>C688</f>
        <v>600</v>
      </c>
      <c r="D690" s="4">
        <f>C690*D689</f>
        <v>630</v>
      </c>
      <c r="E690" s="4">
        <f>D690*E689</f>
        <v>648.9</v>
      </c>
      <c r="F690" s="4">
        <f>E690*F689</f>
        <v>668.36699999999996</v>
      </c>
      <c r="G690" s="4">
        <f>F690*G689</f>
        <v>688.41800999999998</v>
      </c>
      <c r="H690" s="4">
        <f>G690*H689</f>
        <v>709.07055030000004</v>
      </c>
    </row>
    <row r="691" spans="2:9">
      <c r="B691" s="107" t="s">
        <v>822</v>
      </c>
      <c r="C691" s="4">
        <f t="shared" ref="C691:H691" si="40">C684*C690</f>
        <v>4800000</v>
      </c>
      <c r="D691" s="4">
        <f t="shared" si="40"/>
        <v>5040000</v>
      </c>
      <c r="E691" s="4">
        <f t="shared" si="40"/>
        <v>5191200</v>
      </c>
      <c r="F691" s="4">
        <f t="shared" si="40"/>
        <v>4277548.8</v>
      </c>
      <c r="G691" s="4">
        <f t="shared" si="40"/>
        <v>4956609.6720000003</v>
      </c>
      <c r="H691" s="4">
        <f t="shared" si="40"/>
        <v>5105307.9621600006</v>
      </c>
    </row>
    <row r="692" spans="2:9">
      <c r="B692" s="107" t="s">
        <v>1611</v>
      </c>
      <c r="C692" s="4">
        <v>200000</v>
      </c>
      <c r="D692" s="4">
        <f>C692*D689</f>
        <v>210000</v>
      </c>
      <c r="E692" s="4">
        <f>D692*E689</f>
        <v>216300</v>
      </c>
      <c r="F692" s="4">
        <f>E692*F689</f>
        <v>222789</v>
      </c>
      <c r="G692" s="4">
        <f>F692*G689</f>
        <v>229472.67</v>
      </c>
      <c r="H692" s="4">
        <f>G692*H689</f>
        <v>236356.85010000001</v>
      </c>
    </row>
    <row r="693" spans="2:9">
      <c r="B693" s="107" t="s">
        <v>823</v>
      </c>
      <c r="C693" s="4">
        <v>2000000</v>
      </c>
      <c r="D693" s="107"/>
      <c r="E693" s="107"/>
      <c r="F693" s="102">
        <f>C693*D694*E694*F694</f>
        <v>2228096</v>
      </c>
      <c r="G693" s="107"/>
      <c r="H693" s="107"/>
    </row>
    <row r="694" spans="2:9">
      <c r="B694" s="107" t="s">
        <v>830</v>
      </c>
      <c r="C694" s="4"/>
      <c r="D694" s="107">
        <f>D679</f>
        <v>1.04</v>
      </c>
      <c r="E694" s="107">
        <f t="shared" ref="E694:F694" si="41">E679</f>
        <v>1.04</v>
      </c>
      <c r="F694" s="107">
        <f t="shared" si="41"/>
        <v>1.03</v>
      </c>
      <c r="G694" s="107"/>
      <c r="H694" s="107"/>
    </row>
    <row r="695" spans="2:9">
      <c r="B695" s="107" t="s">
        <v>783</v>
      </c>
      <c r="C695" s="4">
        <f>C687-C691-C692*12</f>
        <v>800000</v>
      </c>
      <c r="D695" s="4">
        <f>D687-D691-D692*12</f>
        <v>920000</v>
      </c>
      <c r="E695" s="4">
        <f>E687-E691-E692*12</f>
        <v>1032400</v>
      </c>
      <c r="F695" s="4">
        <f>F687-F691-F692*12-F693</f>
        <v>-1841538.3999999994</v>
      </c>
      <c r="G695" s="4">
        <f>G687-G691-G692*12</f>
        <v>874680.33600000013</v>
      </c>
      <c r="H695" s="4">
        <f>H687-H691-H692*12</f>
        <v>986770.36655999999</v>
      </c>
    </row>
    <row r="696" spans="2:9">
      <c r="B696" s="107" t="s">
        <v>88</v>
      </c>
      <c r="C696" s="109">
        <v>0.18</v>
      </c>
      <c r="D696" s="109">
        <v>0.18</v>
      </c>
      <c r="E696" s="109">
        <v>0.18</v>
      </c>
      <c r="F696" s="109">
        <v>0.18</v>
      </c>
      <c r="G696" s="109">
        <v>0.18</v>
      </c>
      <c r="H696" s="109">
        <v>0.18</v>
      </c>
    </row>
    <row r="697" spans="2:9">
      <c r="B697" s="107" t="s">
        <v>1613</v>
      </c>
      <c r="C697" s="4">
        <f t="shared" ref="C697:H697" si="42">C695/(1+C696)^C681</f>
        <v>677966.10169491533</v>
      </c>
      <c r="D697" s="4">
        <f t="shared" si="42"/>
        <v>660729.67538063787</v>
      </c>
      <c r="E697" s="4">
        <f t="shared" si="42"/>
        <v>628350.51295409957</v>
      </c>
      <c r="F697" s="4">
        <f t="shared" si="42"/>
        <v>-949845.01988510531</v>
      </c>
      <c r="G697" s="4">
        <f t="shared" si="42"/>
        <v>382330.83612115431</v>
      </c>
      <c r="H697" s="4">
        <f t="shared" si="42"/>
        <v>365530.86570041016</v>
      </c>
      <c r="I697" s="221">
        <f>SUM(C697:H697)</f>
        <v>1765062.971966112</v>
      </c>
    </row>
    <row r="698" spans="2:9">
      <c r="B698" s="107" t="s">
        <v>1614</v>
      </c>
      <c r="E698" s="11">
        <f>C697+D697+E697</f>
        <v>1967046.2900296529</v>
      </c>
    </row>
    <row r="700" spans="2:9">
      <c r="C700" s="110" t="s">
        <v>1615</v>
      </c>
    </row>
    <row r="701" spans="2:9">
      <c r="C701" s="110" t="s">
        <v>1607</v>
      </c>
    </row>
    <row r="702" spans="2:9">
      <c r="C702" s="110" t="s">
        <v>1612</v>
      </c>
    </row>
    <row r="704" spans="2:9" ht="19.5" thickBot="1"/>
    <row r="705" spans="2:9" ht="205.5" customHeight="1" thickBot="1">
      <c r="B705" s="236" t="s">
        <v>1624</v>
      </c>
      <c r="C705" s="237"/>
      <c r="D705" s="237"/>
      <c r="E705" s="237"/>
      <c r="F705" s="237"/>
      <c r="G705" s="237"/>
      <c r="H705" s="237"/>
      <c r="I705" s="238"/>
    </row>
    <row r="707" spans="2:9">
      <c r="B707" s="107"/>
      <c r="C707" s="108">
        <v>2017</v>
      </c>
      <c r="D707" s="108">
        <v>2018</v>
      </c>
      <c r="E707" s="108">
        <v>2019</v>
      </c>
      <c r="F707" s="108">
        <v>2020</v>
      </c>
      <c r="G707" s="108">
        <v>2021</v>
      </c>
      <c r="H707" s="108">
        <v>2022</v>
      </c>
    </row>
    <row r="708" spans="2:9">
      <c r="B708" s="107" t="s">
        <v>832</v>
      </c>
      <c r="C708" s="108">
        <v>1.08</v>
      </c>
      <c r="D708" s="108">
        <v>1.06</v>
      </c>
      <c r="E708" s="108">
        <v>1.05</v>
      </c>
      <c r="F708" s="108">
        <v>1.03</v>
      </c>
      <c r="G708" s="108">
        <v>1.03</v>
      </c>
      <c r="H708" s="108">
        <v>1.03</v>
      </c>
    </row>
    <row r="709" spans="2:9">
      <c r="B709" s="107" t="s">
        <v>833</v>
      </c>
      <c r="C709" s="108">
        <v>1.1000000000000001</v>
      </c>
      <c r="D709" s="108">
        <v>1.08</v>
      </c>
      <c r="E709" s="108">
        <v>1.06</v>
      </c>
      <c r="F709" s="108">
        <v>1.04</v>
      </c>
      <c r="G709" s="108">
        <v>1.04</v>
      </c>
      <c r="H709" s="108">
        <v>1.04</v>
      </c>
    </row>
    <row r="710" spans="2:9">
      <c r="B710" s="107" t="s">
        <v>834</v>
      </c>
      <c r="C710" s="108">
        <v>1.04</v>
      </c>
      <c r="D710" s="108">
        <v>1.05</v>
      </c>
      <c r="E710" s="108">
        <v>1.08</v>
      </c>
      <c r="F710" s="108">
        <v>1.0900000000000001</v>
      </c>
      <c r="G710" s="108">
        <v>1.07</v>
      </c>
      <c r="H710" s="108">
        <v>1.06</v>
      </c>
    </row>
    <row r="712" spans="2:9">
      <c r="B712" s="107" t="s">
        <v>86</v>
      </c>
      <c r="C712" s="108"/>
      <c r="D712" s="108"/>
      <c r="E712" s="108"/>
      <c r="F712" s="108"/>
      <c r="G712" s="115">
        <v>1</v>
      </c>
      <c r="H712" s="115">
        <v>2</v>
      </c>
    </row>
    <row r="713" spans="2:9">
      <c r="B713" s="107" t="s">
        <v>824</v>
      </c>
      <c r="C713" s="115">
        <v>11</v>
      </c>
      <c r="D713" s="115">
        <v>11</v>
      </c>
      <c r="E713" s="115">
        <v>11</v>
      </c>
      <c r="F713" s="115">
        <v>8</v>
      </c>
      <c r="G713" s="115">
        <v>9</v>
      </c>
      <c r="H713" s="115">
        <v>9</v>
      </c>
    </row>
    <row r="714" spans="2:9">
      <c r="B714" s="107" t="s">
        <v>820</v>
      </c>
      <c r="C714" s="108">
        <v>100</v>
      </c>
      <c r="D714" s="108">
        <v>100</v>
      </c>
      <c r="E714" s="108">
        <v>100</v>
      </c>
      <c r="F714" s="108">
        <v>100</v>
      </c>
      <c r="G714" s="108">
        <v>100</v>
      </c>
      <c r="H714" s="108">
        <v>100</v>
      </c>
    </row>
    <row r="715" spans="2:9">
      <c r="B715" s="107" t="s">
        <v>825</v>
      </c>
      <c r="C715" s="108">
        <f>C713*C714</f>
        <v>1100</v>
      </c>
      <c r="D715" s="108">
        <f t="shared" ref="D715:H715" si="43">D713*D714</f>
        <v>1100</v>
      </c>
      <c r="E715" s="108">
        <f t="shared" si="43"/>
        <v>1100</v>
      </c>
      <c r="F715" s="108">
        <f t="shared" si="43"/>
        <v>800</v>
      </c>
      <c r="G715" s="108">
        <f t="shared" si="43"/>
        <v>900</v>
      </c>
      <c r="H715" s="108">
        <f t="shared" si="43"/>
        <v>900</v>
      </c>
    </row>
    <row r="716" spans="2:9">
      <c r="B716" s="107" t="s">
        <v>819</v>
      </c>
      <c r="C716" s="4">
        <v>500</v>
      </c>
      <c r="D716" s="4">
        <f>C716*D717</f>
        <v>530</v>
      </c>
      <c r="E716" s="4">
        <f>D716*E717</f>
        <v>556.5</v>
      </c>
      <c r="F716" s="4">
        <f>E716*F717</f>
        <v>573.19500000000005</v>
      </c>
      <c r="G716" s="54">
        <f>F716*G717</f>
        <v>590.39085000000011</v>
      </c>
      <c r="H716" s="4">
        <f>G716*H717</f>
        <v>608.10257550000017</v>
      </c>
    </row>
    <row r="717" spans="2:9">
      <c r="B717" s="107" t="s">
        <v>826</v>
      </c>
      <c r="C717" s="115"/>
      <c r="D717" s="108">
        <v>1.06</v>
      </c>
      <c r="E717" s="108">
        <v>1.05</v>
      </c>
      <c r="F717" s="108">
        <v>1.03</v>
      </c>
      <c r="G717" s="108">
        <v>1.03</v>
      </c>
      <c r="H717" s="108">
        <v>1.03</v>
      </c>
    </row>
    <row r="718" spans="2:9">
      <c r="B718" s="107" t="s">
        <v>780</v>
      </c>
      <c r="C718" s="4">
        <f t="shared" ref="C718:H718" si="44">C716*C715</f>
        <v>550000</v>
      </c>
      <c r="D718" s="4">
        <f t="shared" si="44"/>
        <v>583000</v>
      </c>
      <c r="E718" s="4">
        <f t="shared" si="44"/>
        <v>612150</v>
      </c>
      <c r="F718" s="4">
        <f t="shared" si="44"/>
        <v>458556.00000000006</v>
      </c>
      <c r="G718" s="54">
        <f t="shared" si="44"/>
        <v>531351.76500000013</v>
      </c>
      <c r="H718" s="54">
        <f t="shared" si="44"/>
        <v>547292.31795000017</v>
      </c>
    </row>
    <row r="719" spans="2:9">
      <c r="B719" s="107" t="s">
        <v>821</v>
      </c>
      <c r="C719" s="108">
        <v>130</v>
      </c>
      <c r="D719" s="108"/>
      <c r="E719" s="108"/>
      <c r="F719" s="108"/>
      <c r="G719" s="108"/>
      <c r="H719" s="108"/>
    </row>
    <row r="720" spans="2:9">
      <c r="B720" s="107" t="s">
        <v>826</v>
      </c>
      <c r="C720" s="115"/>
      <c r="D720" s="108">
        <v>1.08</v>
      </c>
      <c r="E720" s="108">
        <v>1.06</v>
      </c>
      <c r="F720" s="108">
        <v>1.04</v>
      </c>
      <c r="G720" s="108">
        <v>1.04</v>
      </c>
      <c r="H720" s="108">
        <v>1.04</v>
      </c>
    </row>
    <row r="721" spans="2:9">
      <c r="B721" s="107" t="s">
        <v>828</v>
      </c>
      <c r="C721" s="4">
        <f>C719</f>
        <v>130</v>
      </c>
      <c r="D721" s="4">
        <f>C721*D720</f>
        <v>140.4</v>
      </c>
      <c r="E721" s="4">
        <f>D721*E720</f>
        <v>148.82400000000001</v>
      </c>
      <c r="F721" s="4">
        <f>E721*F720</f>
        <v>154.77696000000003</v>
      </c>
      <c r="G721" s="54">
        <f>F721*G720</f>
        <v>160.96803840000004</v>
      </c>
      <c r="H721" s="54">
        <f>G721*H720</f>
        <v>167.40675993600004</v>
      </c>
    </row>
    <row r="722" spans="2:9">
      <c r="B722" s="107" t="s">
        <v>822</v>
      </c>
      <c r="C722" s="4">
        <f t="shared" ref="C722:H722" si="45">C715*C721</f>
        <v>143000</v>
      </c>
      <c r="D722" s="4">
        <f t="shared" si="45"/>
        <v>154440</v>
      </c>
      <c r="E722" s="4">
        <f t="shared" si="45"/>
        <v>163706.40000000002</v>
      </c>
      <c r="F722" s="4">
        <f t="shared" si="45"/>
        <v>123821.56800000003</v>
      </c>
      <c r="G722" s="4">
        <f t="shared" si="45"/>
        <v>144871.23456000004</v>
      </c>
      <c r="H722" s="4">
        <f t="shared" si="45"/>
        <v>150666.08394240003</v>
      </c>
    </row>
    <row r="723" spans="2:9">
      <c r="B723" s="107" t="s">
        <v>1611</v>
      </c>
      <c r="C723" s="4">
        <v>10000</v>
      </c>
      <c r="D723" s="4">
        <f>C723*D720</f>
        <v>10800</v>
      </c>
      <c r="E723" s="4">
        <f>D723*E720</f>
        <v>11448</v>
      </c>
      <c r="F723" s="4">
        <f>E723*F720</f>
        <v>11905.92</v>
      </c>
      <c r="G723" s="4">
        <f>F723*G720</f>
        <v>12382.156800000001</v>
      </c>
      <c r="H723" s="4">
        <f>G723*H720</f>
        <v>12877.443072000002</v>
      </c>
    </row>
    <row r="724" spans="2:9">
      <c r="B724" s="107" t="s">
        <v>823</v>
      </c>
      <c r="C724" s="107"/>
      <c r="D724" s="107"/>
      <c r="E724" s="107"/>
      <c r="F724" s="102">
        <v>800000</v>
      </c>
      <c r="G724" s="107"/>
      <c r="H724" s="107"/>
    </row>
    <row r="725" spans="2:9">
      <c r="B725" s="107" t="s">
        <v>783</v>
      </c>
      <c r="C725" s="4">
        <f>C718-C722-C723*12</f>
        <v>287000</v>
      </c>
      <c r="D725" s="4">
        <f>D718-D722-D723*12</f>
        <v>298960</v>
      </c>
      <c r="E725" s="4">
        <f>E718-E722-E723*12</f>
        <v>311067.59999999998</v>
      </c>
      <c r="F725" s="4">
        <f>F718-F722-F723*12-F724</f>
        <v>-608136.60800000001</v>
      </c>
      <c r="G725" s="4">
        <f>G718-G722-G723*12</f>
        <v>237894.6488400001</v>
      </c>
      <c r="H725" s="4">
        <f>H718-H722-H723*12</f>
        <v>242096.91714360009</v>
      </c>
    </row>
    <row r="726" spans="2:9">
      <c r="B726" s="107" t="s">
        <v>88</v>
      </c>
      <c r="C726" s="109"/>
      <c r="D726" s="109"/>
      <c r="E726" s="109"/>
      <c r="F726" s="109"/>
      <c r="G726" s="109">
        <v>0.2</v>
      </c>
      <c r="H726" s="109">
        <v>0.2</v>
      </c>
    </row>
    <row r="727" spans="2:9">
      <c r="B727" s="107" t="s">
        <v>134</v>
      </c>
      <c r="C727" s="4"/>
      <c r="D727" s="4"/>
      <c r="E727" s="4"/>
      <c r="F727" s="4"/>
      <c r="G727" s="4">
        <f>G725/(1+G726)^G712</f>
        <v>198245.5407000001</v>
      </c>
      <c r="H727" s="4">
        <f>H725/(1+H726)^H712</f>
        <v>168122.85912750007</v>
      </c>
      <c r="I727" s="11">
        <f>SUM(C727:H727)</f>
        <v>366368.39982750016</v>
      </c>
    </row>
    <row r="729" spans="2:9">
      <c r="C729" s="110" t="s">
        <v>1607</v>
      </c>
    </row>
    <row r="730" spans="2:9">
      <c r="C730" s="110" t="s">
        <v>1616</v>
      </c>
    </row>
  </sheetData>
  <mergeCells count="35">
    <mergeCell ref="B400:I400"/>
    <mergeCell ref="B419:I419"/>
    <mergeCell ref="B454:I454"/>
    <mergeCell ref="B637:I637"/>
    <mergeCell ref="B320:I320"/>
    <mergeCell ref="B347:I347"/>
    <mergeCell ref="B521:I521"/>
    <mergeCell ref="B546:I546"/>
    <mergeCell ref="B619:I619"/>
    <mergeCell ref="B559:I559"/>
    <mergeCell ref="B573:I573"/>
    <mergeCell ref="B588:I588"/>
    <mergeCell ref="B598:I598"/>
    <mergeCell ref="B604:I604"/>
    <mergeCell ref="B13:I13"/>
    <mergeCell ref="B107:I107"/>
    <mergeCell ref="B121:I121"/>
    <mergeCell ref="B293:I293"/>
    <mergeCell ref="B381:I381"/>
    <mergeCell ref="B646:I646"/>
    <mergeCell ref="B674:I674"/>
    <mergeCell ref="B705:I705"/>
    <mergeCell ref="B2:I2"/>
    <mergeCell ref="B231:I231"/>
    <mergeCell ref="B248:I248"/>
    <mergeCell ref="B265:I265"/>
    <mergeCell ref="B279:I279"/>
    <mergeCell ref="B139:I139"/>
    <mergeCell ref="B159:I159"/>
    <mergeCell ref="B178:I178"/>
    <mergeCell ref="B189:I189"/>
    <mergeCell ref="B206:I206"/>
    <mergeCell ref="B35:I35"/>
    <mergeCell ref="B55:I55"/>
    <mergeCell ref="B76:I76"/>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Титул</vt:lpstr>
      <vt:lpstr>Сочетания клавиш</vt:lpstr>
      <vt:lpstr>Затратный</vt:lpstr>
      <vt:lpstr>Сравнительный</vt:lpstr>
      <vt:lpstr>Доходный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Алексей Зумберг</dc:creator>
  <cp:lastModifiedBy>Алексей Зумберг</cp:lastModifiedBy>
  <dcterms:created xsi:type="dcterms:W3CDTF">2021-01-25T11:27:32Z</dcterms:created>
  <dcterms:modified xsi:type="dcterms:W3CDTF">2024-10-23T11:25:25Z</dcterms:modified>
</cp:coreProperties>
</file>