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12C1AA9-FD9A-407F-9110-4CAF106818CD}" xr6:coauthVersionLast="47" xr6:coauthVersionMax="47" xr10:uidLastSave="{00000000-0000-0000-0000-000000000000}"/>
  <bookViews>
    <workbookView xWindow="645" yWindow="135" windowWidth="26670" windowHeight="17175" xr2:uid="{F15B7BA8-7CCF-4912-B6CC-2470F37FF660}"/>
  </bookViews>
  <sheets>
    <sheet name="Титульный" sheetId="10" r:id="rId1"/>
    <sheet name="Сочетания клавиш" sheetId="11" r:id="rId2"/>
    <sheet name="Затратный" sheetId="8" r:id="rId3"/>
    <sheet name="Сравнительный" sheetId="7" r:id="rId4"/>
    <sheet name="Доходный" sheetId="1" r:id="rId5"/>
    <sheet name="Со звёздочкой"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3" i="7" l="1"/>
  <c r="F644" i="1"/>
  <c r="F645" i="1" s="1"/>
  <c r="F643" i="1"/>
  <c r="F642" i="1"/>
  <c r="C634" i="1"/>
  <c r="C713" i="1"/>
  <c r="D715" i="1"/>
  <c r="C729" i="1"/>
  <c r="D729" i="1"/>
  <c r="E729" i="1"/>
  <c r="C590" i="7"/>
  <c r="C591" i="7" s="1"/>
  <c r="C589" i="7"/>
  <c r="F158" i="12"/>
  <c r="F153" i="12"/>
  <c r="E153" i="12"/>
  <c r="D153" i="12"/>
  <c r="F150" i="12"/>
  <c r="D150" i="12"/>
  <c r="F147" i="12"/>
  <c r="E147" i="12"/>
  <c r="D147" i="12"/>
  <c r="E125" i="12"/>
  <c r="E126" i="12"/>
  <c r="F163" i="12"/>
  <c r="E163" i="12"/>
  <c r="D163" i="12"/>
  <c r="I157" i="12"/>
  <c r="I156" i="12" s="1"/>
  <c r="I150" i="12"/>
  <c r="I149" i="12"/>
  <c r="F144" i="12"/>
  <c r="E144" i="12"/>
  <c r="D144" i="12"/>
  <c r="F69" i="12"/>
  <c r="D69" i="12"/>
  <c r="F66" i="12"/>
  <c r="F63" i="12"/>
  <c r="D63" i="12"/>
  <c r="E38" i="12"/>
  <c r="E39" i="12"/>
  <c r="F76" i="12"/>
  <c r="E76" i="12"/>
  <c r="D76" i="12"/>
  <c r="I70" i="12"/>
  <c r="I69" i="12" s="1"/>
  <c r="F71" i="12" s="1"/>
  <c r="F72" i="12" s="1"/>
  <c r="I63" i="12"/>
  <c r="I62" i="12"/>
  <c r="E60" i="12"/>
  <c r="F57" i="12"/>
  <c r="E57" i="12"/>
  <c r="D57" i="12"/>
  <c r="E727" i="1"/>
  <c r="C199" i="1"/>
  <c r="C388" i="8"/>
  <c r="D709" i="1"/>
  <c r="C709" i="1"/>
  <c r="D707" i="1"/>
  <c r="C707" i="1"/>
  <c r="D689" i="1"/>
  <c r="C689" i="1"/>
  <c r="E687" i="1"/>
  <c r="E689" i="1" s="1"/>
  <c r="C674" i="1"/>
  <c r="D668" i="1"/>
  <c r="D666" i="1"/>
  <c r="C646" i="1"/>
  <c r="C647" i="1" s="1"/>
  <c r="C631" i="1"/>
  <c r="C632" i="1" s="1"/>
  <c r="D669" i="1" l="1"/>
  <c r="D671" i="1" s="1"/>
  <c r="D672" i="1" s="1"/>
  <c r="D674" i="1" s="1"/>
  <c r="D710" i="1"/>
  <c r="D712" i="1" s="1"/>
  <c r="D713" i="1" s="1"/>
  <c r="C710" i="1"/>
  <c r="C715" i="1" s="1"/>
  <c r="E715" i="1" s="1"/>
  <c r="F159" i="12"/>
  <c r="F160" i="12" s="1"/>
  <c r="F162" i="12" s="1"/>
  <c r="F164" i="12" s="1"/>
  <c r="D160" i="12"/>
  <c r="D162" i="12" s="1"/>
  <c r="D164" i="12" s="1"/>
  <c r="E160" i="12"/>
  <c r="E162" i="12" s="1"/>
  <c r="E164" i="12" s="1"/>
  <c r="D73" i="12"/>
  <c r="D75" i="12" s="1"/>
  <c r="D77" i="12" s="1"/>
  <c r="E73" i="12"/>
  <c r="E75" i="12" s="1"/>
  <c r="E77" i="12" s="1"/>
  <c r="F73" i="12"/>
  <c r="F75" i="12" s="1"/>
  <c r="F77" i="12" s="1"/>
  <c r="F729" i="1"/>
  <c r="E674" i="1"/>
  <c r="F689" i="1"/>
  <c r="C633" i="1"/>
  <c r="E609" i="1"/>
  <c r="F609" i="1" s="1"/>
  <c r="G609" i="1" s="1"/>
  <c r="G611" i="1" s="1"/>
  <c r="D612" i="1"/>
  <c r="E612" i="1" s="1"/>
  <c r="F612" i="1" s="1"/>
  <c r="G612" i="1" s="1"/>
  <c r="G614" i="1" s="1"/>
  <c r="D607" i="1"/>
  <c r="D608" i="1" s="1"/>
  <c r="C166" i="12" l="1"/>
  <c r="C168" i="12" s="1"/>
  <c r="C169" i="12" s="1"/>
  <c r="C164" i="12"/>
  <c r="C81" i="12"/>
  <c r="C83" i="12" s="1"/>
  <c r="C84" i="12" s="1"/>
  <c r="C77" i="12"/>
  <c r="C79" i="12"/>
  <c r="F614" i="1"/>
  <c r="D614" i="1"/>
  <c r="D615" i="1" s="1"/>
  <c r="D618" i="1" s="1"/>
  <c r="D620" i="1" s="1"/>
  <c r="E614" i="1"/>
  <c r="G615" i="1"/>
  <c r="G617" i="1" s="1"/>
  <c r="G618" i="1" s="1"/>
  <c r="G620" i="1" s="1"/>
  <c r="F611" i="1"/>
  <c r="E607" i="1"/>
  <c r="C594" i="1"/>
  <c r="C595" i="1" s="1"/>
  <c r="C596" i="1" s="1"/>
  <c r="D576" i="1"/>
  <c r="C576" i="1"/>
  <c r="E574" i="1"/>
  <c r="E576" i="1" s="1"/>
  <c r="C562" i="1"/>
  <c r="C563" i="1" s="1"/>
  <c r="C564" i="1" s="1"/>
  <c r="C561" i="1"/>
  <c r="C546" i="1"/>
  <c r="C547" i="1" s="1"/>
  <c r="C548" i="1"/>
  <c r="D578" i="7"/>
  <c r="C578" i="7"/>
  <c r="E557" i="7"/>
  <c r="D557" i="7"/>
  <c r="C557" i="7"/>
  <c r="E561" i="7"/>
  <c r="D561" i="7"/>
  <c r="E551" i="7"/>
  <c r="E554" i="7" s="1"/>
  <c r="D551" i="7"/>
  <c r="D554" i="7" s="1"/>
  <c r="D534" i="7"/>
  <c r="C534" i="7"/>
  <c r="D535" i="7" s="1"/>
  <c r="D532" i="7"/>
  <c r="E517" i="7"/>
  <c r="D517" i="7"/>
  <c r="E509" i="7"/>
  <c r="E512" i="7" s="1"/>
  <c r="E515" i="7" s="1"/>
  <c r="E519" i="7" s="1"/>
  <c r="D509" i="7"/>
  <c r="D512" i="7" s="1"/>
  <c r="D515" i="7" s="1"/>
  <c r="D519" i="7" s="1"/>
  <c r="C494" i="7"/>
  <c r="C489" i="7"/>
  <c r="C490" i="7" s="1"/>
  <c r="C418" i="8"/>
  <c r="C417" i="8"/>
  <c r="C406" i="8"/>
  <c r="C407" i="8" s="1"/>
  <c r="C393" i="8"/>
  <c r="C392" i="8"/>
  <c r="C394" i="8" s="1"/>
  <c r="C389" i="8"/>
  <c r="C395" i="8" s="1"/>
  <c r="C396" i="8" s="1"/>
  <c r="D411" i="7"/>
  <c r="C411" i="7"/>
  <c r="D299" i="1"/>
  <c r="G30" i="11"/>
  <c r="F30" i="11"/>
  <c r="E30" i="11"/>
  <c r="C579" i="7" l="1"/>
  <c r="F576" i="1"/>
  <c r="C419" i="8"/>
  <c r="C420" i="8" s="1"/>
  <c r="D536" i="7"/>
  <c r="F615" i="1"/>
  <c r="F618" i="1" s="1"/>
  <c r="F620" i="1" s="1"/>
  <c r="E608" i="1"/>
  <c r="E615" i="1" s="1"/>
  <c r="E618" i="1" s="1"/>
  <c r="E620" i="1" s="1"/>
  <c r="C549" i="1"/>
  <c r="C550" i="1" s="1"/>
  <c r="D558" i="7"/>
  <c r="D559" i="7" s="1"/>
  <c r="D563" i="7" s="1"/>
  <c r="E558" i="7"/>
  <c r="E559" i="7" s="1"/>
  <c r="E563" i="7" s="1"/>
  <c r="C522" i="7"/>
  <c r="C520" i="7"/>
  <c r="C534" i="1"/>
  <c r="F518" i="1"/>
  <c r="E518" i="1"/>
  <c r="D518" i="1"/>
  <c r="C518" i="1"/>
  <c r="F511" i="1"/>
  <c r="F513" i="1" s="1"/>
  <c r="E511" i="1"/>
  <c r="E513" i="1" s="1"/>
  <c r="D511" i="1"/>
  <c r="D513" i="1" s="1"/>
  <c r="C511" i="1"/>
  <c r="C513" i="1" s="1"/>
  <c r="C500" i="1"/>
  <c r="C499" i="1"/>
  <c r="F481" i="1"/>
  <c r="F483" i="1" s="1"/>
  <c r="F485" i="1" s="1"/>
  <c r="F487" i="1"/>
  <c r="E487" i="1"/>
  <c r="D487" i="1"/>
  <c r="C487" i="1"/>
  <c r="D485" i="1"/>
  <c r="C485" i="1"/>
  <c r="E481" i="1"/>
  <c r="E483" i="1" s="1"/>
  <c r="E485" i="1" s="1"/>
  <c r="F464" i="1"/>
  <c r="E464" i="1"/>
  <c r="D464" i="1"/>
  <c r="C464" i="1"/>
  <c r="F467" i="1"/>
  <c r="E467" i="1"/>
  <c r="D467" i="1"/>
  <c r="C467" i="1"/>
  <c r="F460" i="1"/>
  <c r="F462" i="1" s="1"/>
  <c r="E460" i="1"/>
  <c r="E462" i="1" s="1"/>
  <c r="D460" i="1"/>
  <c r="C460" i="1"/>
  <c r="C462" i="1" s="1"/>
  <c r="C451" i="1"/>
  <c r="C440" i="1"/>
  <c r="C441" i="1" s="1"/>
  <c r="C442" i="1" s="1"/>
  <c r="F428" i="1"/>
  <c r="E428" i="1"/>
  <c r="D428" i="1"/>
  <c r="C428" i="1"/>
  <c r="F426" i="1"/>
  <c r="E424" i="1"/>
  <c r="E426" i="1" s="1"/>
  <c r="D421" i="1"/>
  <c r="D426" i="1" s="1"/>
  <c r="C421" i="1"/>
  <c r="C426" i="1" s="1"/>
  <c r="D242" i="1"/>
  <c r="C473" i="7"/>
  <c r="E464" i="7"/>
  <c r="D464" i="7"/>
  <c r="C372" i="8"/>
  <c r="C373" i="8" s="1"/>
  <c r="C361" i="8"/>
  <c r="C362" i="8" s="1"/>
  <c r="C411" i="1"/>
  <c r="C412" i="1" s="1"/>
  <c r="C413" i="1" s="1"/>
  <c r="C414" i="1" s="1"/>
  <c r="C415" i="1" s="1"/>
  <c r="E398" i="1"/>
  <c r="E400" i="1" s="1"/>
  <c r="D398" i="1"/>
  <c r="D400" i="1" s="1"/>
  <c r="C398" i="1"/>
  <c r="C400" i="1" s="1"/>
  <c r="C266" i="1"/>
  <c r="C267" i="1" s="1"/>
  <c r="C268" i="1" s="1"/>
  <c r="C269" i="1" s="1"/>
  <c r="C254" i="1"/>
  <c r="C255" i="1" s="1"/>
  <c r="C245" i="1"/>
  <c r="C234" i="1"/>
  <c r="C235" i="1" s="1"/>
  <c r="E219" i="1"/>
  <c r="D219" i="1"/>
  <c r="C219" i="1"/>
  <c r="C188" i="1"/>
  <c r="C186" i="1"/>
  <c r="C187" i="1" s="1"/>
  <c r="C173" i="1"/>
  <c r="C174" i="1" s="1"/>
  <c r="C160" i="1"/>
  <c r="C161" i="1" s="1"/>
  <c r="C148" i="1"/>
  <c r="C107" i="1"/>
  <c r="C79" i="1"/>
  <c r="C78" i="1"/>
  <c r="C55" i="1"/>
  <c r="C56" i="1" s="1"/>
  <c r="C20" i="1"/>
  <c r="C18" i="1"/>
  <c r="C19" i="1" s="1"/>
  <c r="C6" i="1"/>
  <c r="C211" i="1"/>
  <c r="C133" i="8"/>
  <c r="E170" i="7"/>
  <c r="G170" i="7" s="1"/>
  <c r="F366" i="1"/>
  <c r="F197" i="1"/>
  <c r="C121" i="1"/>
  <c r="H620" i="1" l="1"/>
  <c r="C401" i="1"/>
  <c r="C566" i="7"/>
  <c r="C564" i="7"/>
  <c r="C464" i="7"/>
  <c r="C465" i="7" s="1"/>
  <c r="E515" i="1"/>
  <c r="E516" i="1" s="1"/>
  <c r="E519" i="1" s="1"/>
  <c r="E523" i="1" s="1"/>
  <c r="F515" i="1"/>
  <c r="F516" i="1" s="1"/>
  <c r="F519" i="1" s="1"/>
  <c r="F521" i="1" s="1"/>
  <c r="F523" i="1" s="1"/>
  <c r="C501" i="1"/>
  <c r="C502" i="1" s="1"/>
  <c r="C515" i="1"/>
  <c r="C516" i="1" s="1"/>
  <c r="C519" i="1" s="1"/>
  <c r="C523" i="1" s="1"/>
  <c r="F488" i="1"/>
  <c r="F489" i="1" s="1"/>
  <c r="D515" i="1"/>
  <c r="D516" i="1" s="1"/>
  <c r="D519" i="1" s="1"/>
  <c r="D523" i="1" s="1"/>
  <c r="E429" i="1"/>
  <c r="F429" i="1" s="1"/>
  <c r="F430" i="1" s="1"/>
  <c r="C489" i="1"/>
  <c r="D488" i="1"/>
  <c r="C429" i="1"/>
  <c r="C430" i="1" s="1"/>
  <c r="D429" i="1"/>
  <c r="D430" i="1" s="1"/>
  <c r="E465" i="1"/>
  <c r="E468" i="1" s="1"/>
  <c r="E472" i="1" s="1"/>
  <c r="F465" i="1"/>
  <c r="F468" i="1" s="1"/>
  <c r="F470" i="1" s="1"/>
  <c r="F472" i="1" s="1"/>
  <c r="C465" i="1"/>
  <c r="C468" i="1" s="1"/>
  <c r="C472" i="1" s="1"/>
  <c r="D462" i="1"/>
  <c r="D465" i="1" s="1"/>
  <c r="D468" i="1" s="1"/>
  <c r="D472" i="1" s="1"/>
  <c r="C220" i="1"/>
  <c r="C221" i="1" s="1"/>
  <c r="C189" i="1"/>
  <c r="C80" i="1"/>
  <c r="C21" i="1"/>
  <c r="C22" i="1" s="1"/>
  <c r="C40" i="8"/>
  <c r="C25" i="8"/>
  <c r="I387" i="7"/>
  <c r="I386" i="7" s="1"/>
  <c r="E430" i="1" l="1"/>
  <c r="G430" i="1" s="1"/>
  <c r="G523" i="1"/>
  <c r="D489" i="1"/>
  <c r="E488" i="1"/>
  <c r="E489" i="1" s="1"/>
  <c r="G472" i="1"/>
  <c r="C254" i="7"/>
  <c r="D255" i="7" s="1"/>
  <c r="C251" i="7"/>
  <c r="D252" i="7" s="1"/>
  <c r="D248" i="7"/>
  <c r="D249" i="7" s="1"/>
  <c r="I121" i="7"/>
  <c r="I120" i="7"/>
  <c r="I128" i="7"/>
  <c r="I127" i="7" s="1"/>
  <c r="G489" i="1" l="1"/>
  <c r="D256" i="7"/>
  <c r="D257" i="7" s="1"/>
  <c r="C319" i="8"/>
  <c r="C198" i="8"/>
  <c r="C69" i="8"/>
  <c r="C70" i="8" s="1"/>
  <c r="C56" i="7"/>
  <c r="C57" i="7" s="1"/>
  <c r="E96" i="7" l="1"/>
  <c r="E97" i="7"/>
  <c r="E382" i="1"/>
  <c r="E385" i="1" s="1"/>
  <c r="E387" i="1"/>
  <c r="D387" i="1"/>
  <c r="C387" i="1"/>
  <c r="F385" i="1"/>
  <c r="D378" i="1"/>
  <c r="D385" i="1" s="1"/>
  <c r="C378" i="1"/>
  <c r="C385" i="1" s="1"/>
  <c r="D359" i="1"/>
  <c r="D366" i="1" s="1"/>
  <c r="C359" i="1"/>
  <c r="C366" i="1" s="1"/>
  <c r="E368" i="1"/>
  <c r="D368" i="1"/>
  <c r="C368" i="1"/>
  <c r="E363" i="1"/>
  <c r="E366" i="1" s="1"/>
  <c r="C311" i="1"/>
  <c r="C305" i="1"/>
  <c r="C306" i="1"/>
  <c r="C304" i="1"/>
  <c r="E286" i="1"/>
  <c r="D286" i="1"/>
  <c r="C286" i="1"/>
  <c r="D284" i="1"/>
  <c r="C284" i="1"/>
  <c r="F281" i="1"/>
  <c r="F283" i="1" s="1"/>
  <c r="F284" i="1" s="1"/>
  <c r="E281" i="1"/>
  <c r="E284" i="1" s="1"/>
  <c r="F32" i="1"/>
  <c r="F34" i="1" s="1"/>
  <c r="E32" i="1"/>
  <c r="E34" i="1" s="1"/>
  <c r="D32" i="1"/>
  <c r="D36" i="1" s="1"/>
  <c r="C32" i="1"/>
  <c r="C36" i="1" s="1"/>
  <c r="F39" i="1"/>
  <c r="E39" i="1"/>
  <c r="D39" i="1"/>
  <c r="C39" i="1"/>
  <c r="E438" i="7"/>
  <c r="E440" i="7" s="1"/>
  <c r="E442" i="7" s="1"/>
  <c r="D438" i="7"/>
  <c r="D440" i="7" s="1"/>
  <c r="D442" i="7" s="1"/>
  <c r="C412" i="7"/>
  <c r="E389" i="7"/>
  <c r="D386" i="7"/>
  <c r="D383" i="7"/>
  <c r="F380" i="7"/>
  <c r="F377" i="7"/>
  <c r="C315" i="7"/>
  <c r="D290" i="7"/>
  <c r="C290" i="7"/>
  <c r="D279" i="7"/>
  <c r="C280" i="7" s="1"/>
  <c r="C281" i="7" s="1"/>
  <c r="D282" i="7" s="1"/>
  <c r="C268" i="7"/>
  <c r="D269" i="7" s="1"/>
  <c r="D270" i="7" s="1"/>
  <c r="D271" i="7" s="1"/>
  <c r="E388" i="1" l="1"/>
  <c r="F388" i="1" s="1"/>
  <c r="F389" i="1" s="1"/>
  <c r="D388" i="1"/>
  <c r="D389" i="1" s="1"/>
  <c r="C388" i="1"/>
  <c r="C389" i="1" s="1"/>
  <c r="E369" i="1"/>
  <c r="F369" i="1" s="1"/>
  <c r="F370" i="1" s="1"/>
  <c r="C369" i="1"/>
  <c r="C370" i="1" s="1"/>
  <c r="D369" i="1"/>
  <c r="D370" i="1" s="1"/>
  <c r="C307" i="1"/>
  <c r="C308" i="1" s="1"/>
  <c r="C309" i="1" s="1"/>
  <c r="C310" i="1" s="1"/>
  <c r="E287" i="1"/>
  <c r="F287" i="1" s="1"/>
  <c r="F288" i="1" s="1"/>
  <c r="C287" i="1"/>
  <c r="C288" i="1" s="1"/>
  <c r="D287" i="1"/>
  <c r="D288" i="1" s="1"/>
  <c r="F36" i="1"/>
  <c r="F37" i="1" s="1"/>
  <c r="F40" i="1" s="1"/>
  <c r="F42" i="1" s="1"/>
  <c r="F44" i="1" s="1"/>
  <c r="D34" i="1"/>
  <c r="D37" i="1" s="1"/>
  <c r="D40" i="1" s="1"/>
  <c r="D44" i="1" s="1"/>
  <c r="C34" i="1"/>
  <c r="C37" i="1" s="1"/>
  <c r="C40" i="1" s="1"/>
  <c r="C44" i="1" s="1"/>
  <c r="E36" i="1"/>
  <c r="E37" i="1" s="1"/>
  <c r="E40" i="1" s="1"/>
  <c r="E44" i="1" s="1"/>
  <c r="C443" i="7"/>
  <c r="C444" i="7" s="1"/>
  <c r="D291" i="7"/>
  <c r="C224" i="7"/>
  <c r="C223" i="7"/>
  <c r="C185" i="7"/>
  <c r="F134" i="7"/>
  <c r="E134" i="7"/>
  <c r="D134" i="7"/>
  <c r="F129" i="7"/>
  <c r="F130" i="7" s="1"/>
  <c r="F127" i="7"/>
  <c r="E124" i="7"/>
  <c r="E121" i="7"/>
  <c r="E118" i="7"/>
  <c r="F115" i="7"/>
  <c r="E115" i="7"/>
  <c r="D115" i="7"/>
  <c r="D131" i="7" s="1"/>
  <c r="D133" i="7" s="1"/>
  <c r="G327" i="8"/>
  <c r="G326" i="8"/>
  <c r="C301" i="8"/>
  <c r="C300" i="8"/>
  <c r="C290" i="8"/>
  <c r="C287" i="8"/>
  <c r="C285" i="8"/>
  <c r="C286" i="8" s="1"/>
  <c r="C350" i="8"/>
  <c r="C349" i="8"/>
  <c r="C345" i="8"/>
  <c r="C346" i="8" s="1"/>
  <c r="C347" i="8" s="1"/>
  <c r="E261" i="8"/>
  <c r="E260" i="8"/>
  <c r="E259" i="8"/>
  <c r="C264" i="8"/>
  <c r="C249" i="8"/>
  <c r="C250" i="8" s="1"/>
  <c r="C247" i="8"/>
  <c r="C248" i="8" s="1"/>
  <c r="C242" i="8"/>
  <c r="C184" i="8"/>
  <c r="C185" i="8" s="1"/>
  <c r="C182" i="8"/>
  <c r="C179" i="8"/>
  <c r="C180" i="8" s="1"/>
  <c r="C181" i="8" s="1"/>
  <c r="C163" i="8"/>
  <c r="C164" i="8" s="1"/>
  <c r="C161" i="8"/>
  <c r="C162" i="8" s="1"/>
  <c r="C147" i="8"/>
  <c r="C148" i="8" s="1"/>
  <c r="C134" i="8"/>
  <c r="C131" i="8"/>
  <c r="C128" i="8"/>
  <c r="C105" i="8"/>
  <c r="C106" i="8" s="1"/>
  <c r="C95" i="8"/>
  <c r="C92" i="8"/>
  <c r="C90" i="8"/>
  <c r="C91" i="8" s="1"/>
  <c r="C55" i="8"/>
  <c r="C56" i="8" s="1"/>
  <c r="G48" i="8"/>
  <c r="G47" i="8"/>
  <c r="F48" i="8"/>
  <c r="F47" i="8"/>
  <c r="C37" i="8"/>
  <c r="C38" i="8" s="1"/>
  <c r="C39" i="8" s="1"/>
  <c r="C41" i="8" s="1"/>
  <c r="C14" i="8"/>
  <c r="C15" i="8" s="1"/>
  <c r="C12" i="8"/>
  <c r="C13" i="8" s="1"/>
  <c r="F393" i="7"/>
  <c r="E393" i="7"/>
  <c r="D393" i="7"/>
  <c r="F374" i="7"/>
  <c r="E374" i="7"/>
  <c r="D374" i="7"/>
  <c r="D390" i="7" s="1"/>
  <c r="D392" i="7" s="1"/>
  <c r="C16" i="8" l="1"/>
  <c r="E389" i="1"/>
  <c r="C390" i="1" s="1"/>
  <c r="H327" i="8"/>
  <c r="C326" i="8" s="1"/>
  <c r="C329" i="8" s="1"/>
  <c r="E370" i="1"/>
  <c r="C371" i="1" s="1"/>
  <c r="C312" i="1"/>
  <c r="C313" i="1" s="1"/>
  <c r="C314" i="1" s="1"/>
  <c r="C315" i="1" s="1"/>
  <c r="C316" i="1" s="1"/>
  <c r="E288" i="1"/>
  <c r="C289" i="1" s="1"/>
  <c r="G44" i="1"/>
  <c r="C225" i="7"/>
  <c r="C226" i="7" s="1"/>
  <c r="E131" i="7"/>
  <c r="E133" i="7" s="1"/>
  <c r="E135" i="7" s="1"/>
  <c r="F131" i="7"/>
  <c r="F133" i="7" s="1"/>
  <c r="F135" i="7" s="1"/>
  <c r="D135" i="7"/>
  <c r="F390" i="7"/>
  <c r="F392" i="7" s="1"/>
  <c r="F394" i="7" s="1"/>
  <c r="E390" i="7"/>
  <c r="E392" i="7" s="1"/>
  <c r="E394" i="7" s="1"/>
  <c r="C351" i="8"/>
  <c r="C352" i="8" s="1"/>
  <c r="C288" i="8"/>
  <c r="C289" i="8" s="1"/>
  <c r="C291" i="8" s="1"/>
  <c r="C292" i="8" s="1"/>
  <c r="C307" i="8" s="1"/>
  <c r="C308" i="8" s="1"/>
  <c r="E264" i="8"/>
  <c r="F261" i="8" s="1"/>
  <c r="C251" i="8"/>
  <c r="C252" i="8" s="1"/>
  <c r="C183" i="8"/>
  <c r="C165" i="8"/>
  <c r="C129" i="8"/>
  <c r="C130" i="8"/>
  <c r="C93" i="8"/>
  <c r="C94" i="8" s="1"/>
  <c r="C96" i="8" s="1"/>
  <c r="C97" i="8" s="1"/>
  <c r="C112" i="8" s="1"/>
  <c r="C113" i="8" s="1"/>
  <c r="G49" i="8"/>
  <c r="F49" i="8"/>
  <c r="C50" i="8" s="1"/>
  <c r="C52" i="8" s="1"/>
  <c r="C57" i="8" s="1"/>
  <c r="D394" i="7"/>
  <c r="C139" i="7" l="1"/>
  <c r="C141" i="7" s="1"/>
  <c r="C142" i="7" s="1"/>
  <c r="G389" i="1"/>
  <c r="C398" i="7"/>
  <c r="C400" i="7" s="1"/>
  <c r="C401" i="7" s="1"/>
  <c r="C394" i="7"/>
  <c r="C137" i="7"/>
  <c r="C135" i="7"/>
  <c r="C396" i="7"/>
  <c r="F259" i="8"/>
  <c r="F260" i="8"/>
  <c r="C186" i="8"/>
  <c r="C187" i="8" s="1"/>
  <c r="C132" i="8"/>
  <c r="E454" i="7"/>
  <c r="D454" i="7"/>
  <c r="E455" i="7"/>
  <c r="D455" i="7"/>
  <c r="C455" i="7"/>
  <c r="E301" i="7"/>
  <c r="E300" i="7"/>
  <c r="E299" i="7"/>
  <c r="E303" i="7" s="1"/>
  <c r="C303" i="7" s="1"/>
  <c r="E456" i="7" l="1"/>
  <c r="E457" i="7" s="1"/>
  <c r="F264" i="8"/>
  <c r="C135" i="8"/>
  <c r="C136" i="8" s="1"/>
  <c r="D456" i="7"/>
  <c r="D457" i="7" s="1"/>
  <c r="C240" i="7"/>
  <c r="D241" i="7" s="1"/>
  <c r="C237" i="7"/>
  <c r="D238" i="7" s="1"/>
  <c r="D234" i="7"/>
  <c r="D235" i="7" s="1"/>
  <c r="D242" i="7" s="1"/>
  <c r="E204" i="7"/>
  <c r="E206" i="7" s="1"/>
  <c r="E208" i="7" s="1"/>
  <c r="D204" i="7"/>
  <c r="D206" i="7" s="1"/>
  <c r="D208" i="7" s="1"/>
  <c r="E172" i="7"/>
  <c r="E171" i="7"/>
  <c r="C155" i="7"/>
  <c r="C156" i="7" s="1"/>
  <c r="C157" i="7" s="1"/>
  <c r="C159" i="7" s="1"/>
  <c r="C46" i="7"/>
  <c r="C36" i="7"/>
  <c r="C35" i="7"/>
  <c r="C21" i="7"/>
  <c r="C22" i="7" s="1"/>
  <c r="C10" i="7"/>
  <c r="C11" i="7" s="1"/>
  <c r="C208" i="7" l="1"/>
  <c r="E175" i="7"/>
  <c r="C458" i="7"/>
  <c r="C459" i="7" s="1"/>
  <c r="C210" i="7"/>
  <c r="C211" i="7" s="1"/>
  <c r="C38" i="7"/>
  <c r="E173" i="7"/>
  <c r="C37" i="7"/>
  <c r="F345" i="1"/>
  <c r="E345" i="1"/>
  <c r="D345" i="1"/>
  <c r="C345" i="1"/>
  <c r="F335" i="1"/>
  <c r="E335" i="1"/>
  <c r="E337" i="1" s="1"/>
  <c r="D335" i="1"/>
  <c r="D337" i="1" s="1"/>
  <c r="C335" i="1"/>
  <c r="F327" i="1"/>
  <c r="F331" i="1" s="1"/>
  <c r="E327" i="1"/>
  <c r="E331" i="1" s="1"/>
  <c r="D327" i="1"/>
  <c r="D331" i="1" s="1"/>
  <c r="C327" i="1"/>
  <c r="C331" i="1" s="1"/>
  <c r="F202" i="1"/>
  <c r="F204" i="1" s="1"/>
  <c r="F206" i="1" s="1"/>
  <c r="F207" i="1" s="1"/>
  <c r="E202" i="1"/>
  <c r="E207" i="1" s="1"/>
  <c r="D202" i="1"/>
  <c r="D207" i="1" s="1"/>
  <c r="C202" i="1"/>
  <c r="C207" i="1" s="1"/>
  <c r="E199" i="1"/>
  <c r="D199" i="1"/>
  <c r="E197" i="1"/>
  <c r="D197" i="1"/>
  <c r="C197" i="1"/>
  <c r="H129" i="1"/>
  <c r="I129" i="1" s="1"/>
  <c r="G129" i="1"/>
  <c r="F129" i="1"/>
  <c r="E129" i="1"/>
  <c r="D129" i="1"/>
  <c r="C129" i="1"/>
  <c r="I126" i="1" l="1"/>
  <c r="I127" i="1" s="1"/>
  <c r="I130" i="1" s="1"/>
  <c r="C136" i="1"/>
  <c r="C137" i="1" s="1"/>
  <c r="C138" i="1" s="1"/>
  <c r="D341" i="1"/>
  <c r="D339" i="1"/>
  <c r="E339" i="1"/>
  <c r="E341" i="1"/>
  <c r="C337" i="1"/>
  <c r="F337" i="1"/>
  <c r="F329" i="1"/>
  <c r="F332" i="1" s="1"/>
  <c r="C329" i="1"/>
  <c r="C332" i="1" s="1"/>
  <c r="D329" i="1"/>
  <c r="E329" i="1"/>
  <c r="C200" i="1"/>
  <c r="E200" i="1"/>
  <c r="D208" i="1"/>
  <c r="E208" i="1"/>
  <c r="F199" i="1"/>
  <c r="F208" i="1" s="1"/>
  <c r="D200" i="1"/>
  <c r="C208" i="1"/>
  <c r="G126" i="1"/>
  <c r="G127" i="1" s="1"/>
  <c r="G130" i="1" s="1"/>
  <c r="H126" i="1"/>
  <c r="H127" i="1" s="1"/>
  <c r="H130" i="1" s="1"/>
  <c r="C126" i="1"/>
  <c r="C127" i="1" s="1"/>
  <c r="D126" i="1"/>
  <c r="D127" i="1" s="1"/>
  <c r="D130" i="1" s="1"/>
  <c r="E126" i="1"/>
  <c r="E127" i="1" s="1"/>
  <c r="E130" i="1" s="1"/>
  <c r="F126" i="1"/>
  <c r="F127" i="1" s="1"/>
  <c r="F130" i="1" s="1"/>
  <c r="E96" i="1"/>
  <c r="D96" i="1"/>
  <c r="C96" i="1"/>
  <c r="D94" i="1"/>
  <c r="C94" i="1"/>
  <c r="F91" i="1"/>
  <c r="F93" i="1" s="1"/>
  <c r="F94" i="1" s="1"/>
  <c r="E91" i="1"/>
  <c r="E94" i="1" s="1"/>
  <c r="D342" i="1" l="1"/>
  <c r="C341" i="1"/>
  <c r="C339" i="1"/>
  <c r="F339" i="1"/>
  <c r="F341" i="1"/>
  <c r="E342" i="1"/>
  <c r="D332" i="1"/>
  <c r="E332" i="1"/>
  <c r="F200" i="1"/>
  <c r="G200" i="1" s="1"/>
  <c r="G208" i="1"/>
  <c r="C130" i="1"/>
  <c r="C131" i="1" s="1"/>
  <c r="C132" i="1" s="1"/>
  <c r="C135" i="1"/>
  <c r="C139" i="1" s="1"/>
  <c r="C140" i="1" s="1"/>
  <c r="E97" i="1"/>
  <c r="F97" i="1" s="1"/>
  <c r="F98" i="1" s="1"/>
  <c r="D97" i="1"/>
  <c r="D98" i="1" s="1"/>
  <c r="C97" i="1"/>
  <c r="C98" i="1" s="1"/>
  <c r="E343" i="1" l="1"/>
  <c r="E346" i="1" s="1"/>
  <c r="D343" i="1"/>
  <c r="D346" i="1" s="1"/>
  <c r="D349" i="1" s="1"/>
  <c r="D351" i="1" s="1"/>
  <c r="C342" i="1"/>
  <c r="C343" i="1" s="1"/>
  <c r="C346" i="1" s="1"/>
  <c r="C349" i="1" s="1"/>
  <c r="C351" i="1" s="1"/>
  <c r="F342" i="1"/>
  <c r="F343" i="1" s="1"/>
  <c r="F346" i="1" s="1"/>
  <c r="F348" i="1" s="1"/>
  <c r="G209" i="1"/>
  <c r="E98" i="1"/>
  <c r="C99" i="1" s="1"/>
  <c r="E349" i="1" l="1"/>
  <c r="E351" i="1" s="1"/>
  <c r="C3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G49" authorId="0" shapeId="0" xr:uid="{E9E769CD-962F-4A31-9638-E20F66FF5B10}">
      <text>
        <r>
          <rPr>
            <b/>
            <sz val="9"/>
            <color indexed="81"/>
            <rFont val="Tahoma"/>
            <family val="2"/>
            <charset val="204"/>
          </rPr>
          <t>На данном этапе неважно что на что делить: большее на меньшее, или меньшее на большее</t>
        </r>
        <r>
          <rPr>
            <sz val="9"/>
            <color indexed="81"/>
            <rFont val="Tahoma"/>
            <family val="2"/>
            <charset val="204"/>
          </rPr>
          <t xml:space="preserve">
</t>
        </r>
      </text>
    </comment>
    <comment ref="C50" authorId="0" shapeId="0" xr:uid="{50D11CF0-2BB2-40A9-B7AD-32CC9F4641AA}">
      <text>
        <r>
          <rPr>
            <b/>
            <sz val="9"/>
            <color indexed="81"/>
            <rFont val="Tahoma"/>
            <family val="2"/>
            <charset val="204"/>
          </rPr>
          <t>Неважно от какого из аналогов рассчитывать затраты</t>
        </r>
        <r>
          <rPr>
            <sz val="9"/>
            <color indexed="81"/>
            <rFont val="Tahoma"/>
            <family val="2"/>
            <charset val="204"/>
          </rPr>
          <t xml:space="preserve">
</t>
        </r>
      </text>
    </comment>
    <comment ref="C326" authorId="0" shapeId="0" xr:uid="{B8FC8E34-B4C8-4BCD-A1FF-4695C1ECEBB1}">
      <text>
        <r>
          <rPr>
            <b/>
            <sz val="9"/>
            <color indexed="81"/>
            <rFont val="Tahoma"/>
            <family val="2"/>
            <charset val="204"/>
          </rPr>
          <t>Цена аналога * (ОО/ОА)^b</t>
        </r>
        <r>
          <rPr>
            <sz val="9"/>
            <color indexed="81"/>
            <rFont val="Tahoma"/>
            <family val="2"/>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D118" authorId="0" shapeId="0" xr:uid="{3310051D-8C9D-4A8C-93D3-00C1D07EB168}">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F118" authorId="0" shapeId="0" xr:uid="{893F9CF6-6165-4C14-9D76-554C59BDC9A4}">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I118" authorId="0" shapeId="0" xr:uid="{C9E1BE6A-FA61-4111-8F99-2A71A8A6060C}">
      <text>
        <r>
          <rPr>
            <b/>
            <sz val="9"/>
            <color indexed="81"/>
            <rFont val="Tahoma"/>
            <family val="2"/>
            <charset val="204"/>
          </rPr>
          <t>Относительная стоимость</t>
        </r>
      </text>
    </comment>
    <comment ref="D121" authorId="0" shapeId="0" xr:uid="{056D3C2B-7454-4F2A-B5E0-7B94E3631BB5}">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F121" authorId="0" shapeId="0" xr:uid="{1B26031B-E39E-4097-9119-5EFA02CB644C}">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D124" authorId="0" shapeId="0" xr:uid="{24EC4A0C-B949-4EE2-A15C-74FB4E0E6933}">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F124" authorId="0" shapeId="0" xr:uid="{9A537A55-589F-4C97-8A3B-C5A35C7D7E00}">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I126" authorId="0" shapeId="0" xr:uid="{6C070052-8E09-4E81-9E5B-7543D10C65F1}">
      <text>
        <r>
          <rPr>
            <b/>
            <sz val="9"/>
            <color indexed="81"/>
            <rFont val="Tahoma"/>
            <family val="2"/>
            <charset val="204"/>
          </rPr>
          <t>Относительная стоимость</t>
        </r>
      </text>
    </comment>
    <comment ref="D127" authorId="0" shapeId="0" xr:uid="{CCEEBF54-9BF2-43D3-ABA4-0F6CC9CDA94B}">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E127" authorId="0" shapeId="0" xr:uid="{704BB308-E9B2-4F3F-A645-A32BDE9EB46E}">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I127" authorId="0" shapeId="0" xr:uid="{5264CC6D-78EC-4330-AB59-9C21C297D65F}">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I128" authorId="0" shapeId="0" xr:uid="{AD000031-8CFD-4BF2-9A64-298B9527F1E9}">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D130" authorId="0" shapeId="0" xr:uid="{386D474F-01EB-4D86-9819-E1BDDE33C63E}">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E130" authorId="0" shapeId="0" xr:uid="{623686E9-EBB7-4EE9-8C9E-FC21EC163107}">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D131" authorId="0" shapeId="0" xr:uid="{A4E4AE17-73A5-4787-977A-6F441CEBB566}">
      <text>
        <r>
          <rPr>
            <b/>
            <sz val="9"/>
            <color indexed="81"/>
            <rFont val="Tahoma"/>
            <family val="2"/>
            <charset val="204"/>
          </rPr>
          <t>Данный тип решения (когда цена предложения корректируется один раз на итоговый коэффициент) рекомендуется только для экзамена в целях ускорения решения</t>
        </r>
        <r>
          <rPr>
            <sz val="9"/>
            <color indexed="81"/>
            <rFont val="Tahoma"/>
            <family val="2"/>
            <charset val="204"/>
          </rPr>
          <t xml:space="preserve">
</t>
        </r>
      </text>
    </comment>
    <comment ref="D134" authorId="0" shapeId="0" xr:uid="{9FA3BDFB-93DA-4D0D-8DD4-E98CE2A868E9}">
      <text>
        <r>
          <rPr>
            <b/>
            <sz val="9"/>
            <color indexed="81"/>
            <rFont val="Tahoma"/>
            <family val="2"/>
            <charset val="204"/>
          </rPr>
          <t>Не надо округлять или вписывать вручную 0,33!!!</t>
        </r>
        <r>
          <rPr>
            <sz val="9"/>
            <color indexed="81"/>
            <rFont val="Tahoma"/>
            <family val="2"/>
            <charset val="204"/>
          </rPr>
          <t xml:space="preserve">
</t>
        </r>
      </text>
    </comment>
    <comment ref="D235" authorId="0" shapeId="0" xr:uid="{0C542DDC-BF7F-4073-A77E-0C31675E35E9}">
      <text>
        <r>
          <rPr>
            <b/>
            <sz val="9"/>
            <color indexed="81"/>
            <rFont val="Tahoma"/>
            <family val="2"/>
            <charset val="204"/>
          </rPr>
          <t>Если в условии есть фраза, что определение класса включает в себя характеристики отделки и местоположения, то используется только эта корректировка</t>
        </r>
        <r>
          <rPr>
            <sz val="9"/>
            <color indexed="81"/>
            <rFont val="Tahoma"/>
            <family val="2"/>
            <charset val="204"/>
          </rPr>
          <t xml:space="preserve">
</t>
        </r>
      </text>
    </comment>
    <comment ref="D249" authorId="0" shapeId="0" xr:uid="{B5B780A6-1B3C-44AF-82A8-CA034710B3DC}">
      <text>
        <r>
          <rPr>
            <b/>
            <sz val="9"/>
            <color indexed="81"/>
            <rFont val="Tahoma"/>
            <family val="2"/>
            <charset val="204"/>
          </rPr>
          <t>Если в условии есть фраза, что определение класса включает в себя характеристики отделки и местоположения, то используется только эта корректировка</t>
        </r>
        <r>
          <rPr>
            <sz val="9"/>
            <color indexed="81"/>
            <rFont val="Tahoma"/>
            <family val="2"/>
            <charset val="204"/>
          </rPr>
          <t xml:space="preserve">
</t>
        </r>
      </text>
    </comment>
    <comment ref="D270" authorId="0" shapeId="0" xr:uid="{0E3DDCC3-8F7E-439A-9682-96702E5D29B4}">
      <text>
        <r>
          <rPr>
            <b/>
            <sz val="9"/>
            <color indexed="81"/>
            <rFont val="Tahoma"/>
            <family val="2"/>
            <charset val="204"/>
          </rPr>
          <t>Тот случай, когда "аналог дороже объекта на … %". Но это ещё не корректировка</t>
        </r>
      </text>
    </comment>
    <comment ref="D377" authorId="0" shapeId="0" xr:uid="{689A5640-5023-4379-B457-D3B1A8B9EC80}">
      <text>
        <r>
          <rPr>
            <b/>
            <sz val="9"/>
            <color indexed="81"/>
            <rFont val="Tahoma"/>
            <family val="2"/>
            <charset val="204"/>
          </rPr>
          <t>Если ОО и ОА не отличаются по типу, сразу ставим 1</t>
        </r>
        <r>
          <rPr>
            <sz val="9"/>
            <color indexed="81"/>
            <rFont val="Tahoma"/>
            <family val="2"/>
            <charset val="204"/>
          </rPr>
          <t xml:space="preserve">
</t>
        </r>
      </text>
    </comment>
    <comment ref="E377" authorId="0" shapeId="0" xr:uid="{BD9BA0DC-089A-4765-9073-1B6783A07812}">
      <text>
        <r>
          <rPr>
            <b/>
            <sz val="9"/>
            <color indexed="81"/>
            <rFont val="Tahoma"/>
            <family val="2"/>
            <charset val="204"/>
          </rPr>
          <t>Если ОО и ОА не отличаются по типу, сразу ставим 1</t>
        </r>
        <r>
          <rPr>
            <sz val="9"/>
            <color indexed="81"/>
            <rFont val="Tahoma"/>
            <family val="2"/>
            <charset val="204"/>
          </rPr>
          <t xml:space="preserve">
</t>
        </r>
      </text>
    </comment>
    <comment ref="I377" authorId="0" shapeId="0" xr:uid="{F7C811F9-25ED-4FD3-8058-3ABF1FA1E5E3}">
      <text>
        <r>
          <rPr>
            <b/>
            <sz val="9"/>
            <color indexed="81"/>
            <rFont val="Tahoma"/>
            <family val="2"/>
            <charset val="204"/>
          </rPr>
          <t>Относительная стоимость</t>
        </r>
      </text>
    </comment>
    <comment ref="D380" authorId="0" shapeId="0" xr:uid="{619D645D-6DEE-45D1-AFD9-03FC79788319}">
      <text>
        <r>
          <rPr>
            <b/>
            <sz val="9"/>
            <color indexed="81"/>
            <rFont val="Tahoma"/>
            <family val="2"/>
            <charset val="204"/>
          </rPr>
          <t>Если ОО и ОА не отличаются по количеству комнат - сразу ставим 1</t>
        </r>
        <r>
          <rPr>
            <sz val="9"/>
            <color indexed="81"/>
            <rFont val="Tahoma"/>
            <family val="2"/>
            <charset val="204"/>
          </rPr>
          <t xml:space="preserve">
</t>
        </r>
      </text>
    </comment>
    <comment ref="F380" authorId="0" shapeId="0" xr:uid="{220221DD-095F-4AE4-926C-0FFC1F0BCF37}">
      <text>
        <r>
          <rPr>
            <b/>
            <sz val="9"/>
            <color indexed="81"/>
            <rFont val="Tahoma"/>
            <family val="2"/>
            <charset val="204"/>
          </rPr>
          <t>Не +5%, а +5,3%</t>
        </r>
        <r>
          <rPr>
            <sz val="9"/>
            <color indexed="81"/>
            <rFont val="Tahoma"/>
            <family val="2"/>
            <charset val="204"/>
          </rPr>
          <t xml:space="preserve">
</t>
        </r>
      </text>
    </comment>
    <comment ref="I385" authorId="0" shapeId="0" xr:uid="{F38B781D-0473-487C-89E6-D061F407C489}">
      <text>
        <r>
          <rPr>
            <b/>
            <sz val="9"/>
            <color indexed="81"/>
            <rFont val="Tahoma"/>
            <family val="2"/>
            <charset val="204"/>
          </rPr>
          <t>Относительная стоимость</t>
        </r>
      </text>
    </comment>
    <comment ref="E386" authorId="0" shapeId="0" xr:uid="{EA8F199E-3691-4D3B-940B-A076B5BECDBF}">
      <text>
        <r>
          <rPr>
            <b/>
            <sz val="9"/>
            <color indexed="81"/>
            <rFont val="Tahoma"/>
            <family val="2"/>
            <charset val="204"/>
          </rPr>
          <t>Если ОО и ОА не отличаются по местоположению - сразу ставим 1</t>
        </r>
        <r>
          <rPr>
            <sz val="9"/>
            <color indexed="81"/>
            <rFont val="Tahoma"/>
            <family val="2"/>
            <charset val="204"/>
          </rPr>
          <t xml:space="preserve">
</t>
        </r>
      </text>
    </comment>
    <comment ref="D390" authorId="0" shapeId="0" xr:uid="{A042E7C0-BB67-4E7E-92A7-902B1A840829}">
      <text>
        <r>
          <rPr>
            <b/>
            <sz val="9"/>
            <color indexed="81"/>
            <rFont val="Tahoma"/>
            <family val="2"/>
            <charset val="204"/>
          </rPr>
          <t>Данный тип решения (когда цена предложения корректируется один раз на итоговый коэффициент) рекомендуется только для экзамена в целях ускорения решения</t>
        </r>
        <r>
          <rPr>
            <sz val="9"/>
            <color indexed="81"/>
            <rFont val="Tahoma"/>
            <family val="2"/>
            <charset val="204"/>
          </rPr>
          <t xml:space="preserve">
</t>
        </r>
      </text>
    </comment>
    <comment ref="D393" authorId="0" shapeId="0" xr:uid="{169726F8-5167-4EB8-ABAE-B7F9F0BCA2BE}">
      <text>
        <r>
          <rPr>
            <b/>
            <sz val="9"/>
            <color indexed="81"/>
            <rFont val="Tahoma"/>
            <family val="2"/>
            <charset val="204"/>
          </rPr>
          <t>Не надо округлять или вписывать вручную 0,33!!!</t>
        </r>
        <r>
          <rPr>
            <sz val="9"/>
            <color indexed="81"/>
            <rFont val="Tahoma"/>
            <family val="2"/>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F28" authorId="0" shapeId="0" xr:uid="{A6B81169-BF67-4DEF-BF0F-364A0B5DCDC9}">
      <text>
        <r>
          <rPr>
            <b/>
            <sz val="9"/>
            <color indexed="81"/>
            <rFont val="Tahoma"/>
            <family val="2"/>
            <charset val="204"/>
          </rPr>
          <t>Терминальная стоимость (реверсия) дисконтируется на конец последнего прогнозного периода</t>
        </r>
        <r>
          <rPr>
            <sz val="9"/>
            <color indexed="81"/>
            <rFont val="Tahoma"/>
            <family val="2"/>
            <charset val="204"/>
          </rPr>
          <t xml:space="preserve">
</t>
        </r>
      </text>
    </comment>
    <comment ref="F43" authorId="0" shapeId="0" xr:uid="{7CFC9020-9BE9-42ED-9743-DCC7AF14B787}">
      <text>
        <r>
          <rPr>
            <b/>
            <sz val="9"/>
            <color indexed="81"/>
            <rFont val="Tahoma"/>
            <family val="2"/>
            <charset val="204"/>
          </rPr>
          <t>Не путайте ставку терминальной капитализации и ставку дисконтирования для  терминальной стоимости</t>
        </r>
        <r>
          <rPr>
            <sz val="9"/>
            <color indexed="81"/>
            <rFont val="Tahoma"/>
            <family val="2"/>
            <charset val="204"/>
          </rPr>
          <t xml:space="preserve">
</t>
        </r>
      </text>
    </comment>
    <comment ref="F44" authorId="0" shapeId="0" xr:uid="{83A9717E-FE5F-4ABF-ACC3-9C1A841AAAD1}">
      <text>
        <r>
          <rPr>
            <b/>
            <sz val="9"/>
            <color indexed="81"/>
            <rFont val="Tahoma"/>
            <family val="2"/>
            <charset val="204"/>
          </rPr>
          <t>Иногда ошибки связаны с тем, что, копируя формулы, дисконтируют не терминальную стоимость, а ЧОД постпрогноза</t>
        </r>
        <r>
          <rPr>
            <sz val="9"/>
            <color indexed="81"/>
            <rFont val="Tahoma"/>
            <family val="2"/>
            <charset val="204"/>
          </rPr>
          <t xml:space="preserve">
</t>
        </r>
      </text>
    </comment>
    <comment ref="F86" authorId="0" shapeId="0" xr:uid="{FC1B41D6-F4A6-48B5-B93A-C75213E99070}">
      <text>
        <r>
          <rPr>
            <b/>
            <sz val="9"/>
            <color indexed="81"/>
            <rFont val="Tahoma"/>
            <family val="2"/>
            <charset val="204"/>
          </rPr>
          <t>Дисконтируется на конец последнего прогнозного периода</t>
        </r>
        <r>
          <rPr>
            <sz val="9"/>
            <color indexed="81"/>
            <rFont val="Tahoma"/>
            <family val="2"/>
            <charset val="204"/>
          </rPr>
          <t xml:space="preserve">
</t>
        </r>
      </text>
    </comment>
    <comment ref="C87" authorId="0" shapeId="0" xr:uid="{AD10B914-B147-4E4B-A2E4-6652E391D08B}">
      <text>
        <r>
          <rPr>
            <b/>
            <sz val="9"/>
            <color indexed="81"/>
            <rFont val="Tahoma"/>
            <family val="2"/>
            <charset val="204"/>
          </rPr>
          <t>Не забываем про знак</t>
        </r>
        <r>
          <rPr>
            <sz val="9"/>
            <color indexed="81"/>
            <rFont val="Tahoma"/>
            <family val="2"/>
            <charset val="204"/>
          </rPr>
          <t xml:space="preserve">
</t>
        </r>
      </text>
    </comment>
    <comment ref="D87" authorId="0" shapeId="0" xr:uid="{1C1F3182-4265-450E-BA0D-B331D4287D76}">
      <text>
        <r>
          <rPr>
            <b/>
            <sz val="9"/>
            <color indexed="81"/>
            <rFont val="Tahoma"/>
            <family val="2"/>
            <charset val="204"/>
          </rPr>
          <t>Те задачи, когда важно разделение групп разрядов</t>
        </r>
        <r>
          <rPr>
            <sz val="9"/>
            <color indexed="81"/>
            <rFont val="Tahoma"/>
            <family val="2"/>
            <charset val="204"/>
          </rPr>
          <t xml:space="preserve">
</t>
        </r>
      </text>
    </comment>
    <comment ref="E90" authorId="0" shapeId="0" xr:uid="{AE498E3B-6DEB-4958-ADD4-6379DD239418}">
      <text>
        <r>
          <rPr>
            <b/>
            <sz val="9"/>
            <color indexed="81"/>
            <rFont val="Tahoma"/>
            <family val="2"/>
            <charset val="204"/>
          </rPr>
          <t>На экзамене встречается как загрузка, так и недозагрузка.</t>
        </r>
        <r>
          <rPr>
            <sz val="9"/>
            <color indexed="81"/>
            <rFont val="Tahoma"/>
            <family val="2"/>
            <charset val="204"/>
          </rPr>
          <t xml:space="preserve">
</t>
        </r>
      </text>
    </comment>
    <comment ref="F93" authorId="0" shapeId="0" xr:uid="{BCD1EB4F-32E0-48C4-A642-E8677DCCEA82}">
      <text>
        <r>
          <rPr>
            <b/>
            <sz val="9"/>
            <color indexed="81"/>
            <rFont val="Tahoma"/>
            <family val="2"/>
            <charset val="204"/>
          </rPr>
          <t>Возможно условие задачи, при котором ДОПОЛНИТЕЛЬНО к вышеизложенному условию будет приведена цена продажи объекта после окончания прогнозного периода. Тогда расчет терминальной стоимость не производится, а берётся из условия задачи.</t>
        </r>
        <r>
          <rPr>
            <sz val="9"/>
            <color indexed="81"/>
            <rFont val="Tahoma"/>
            <family val="2"/>
            <charset val="204"/>
          </rPr>
          <t xml:space="preserve">
</t>
        </r>
      </text>
    </comment>
    <comment ref="I126" authorId="0" shapeId="0" xr:uid="{651BA8D9-DE29-4551-91EE-CA9D8E01B269}">
      <text>
        <r>
          <rPr>
            <b/>
            <sz val="9"/>
            <color indexed="81"/>
            <rFont val="Tahoma"/>
            <family val="2"/>
            <charset val="204"/>
          </rPr>
          <t>Остаток кредита можно посчитать как приведённую стоимость всех оставшихся платежей.
Проверить знак!!!</t>
        </r>
        <r>
          <rPr>
            <sz val="9"/>
            <color indexed="81"/>
            <rFont val="Tahoma"/>
            <family val="2"/>
            <charset val="204"/>
          </rPr>
          <t xml:space="preserve">
</t>
        </r>
      </text>
    </comment>
    <comment ref="C127" authorId="0" shapeId="0" xr:uid="{E1EC8EF1-9327-420B-965B-F9B9C5A1F34B}">
      <text>
        <r>
          <rPr>
            <b/>
            <sz val="9"/>
            <color indexed="81"/>
            <rFont val="Tahoma"/>
            <family val="2"/>
            <charset val="204"/>
          </rPr>
          <t>Проверить знак!!!
Если платёж по кредиту со знаком минус, то в формуле плюс!</t>
        </r>
        <r>
          <rPr>
            <sz val="9"/>
            <color indexed="81"/>
            <rFont val="Tahoma"/>
            <family val="2"/>
            <charset val="204"/>
          </rPr>
          <t xml:space="preserve">
</t>
        </r>
      </text>
    </comment>
    <comment ref="I129" authorId="0" shapeId="0" xr:uid="{8A0F1BCE-7743-435A-BFD1-99792DD51797}">
      <text>
        <r>
          <rPr>
            <b/>
            <sz val="9"/>
            <color indexed="81"/>
            <rFont val="Tahoma"/>
            <family val="2"/>
            <charset val="204"/>
          </rPr>
          <t>На конец последнего прогнозного периода</t>
        </r>
        <r>
          <rPr>
            <sz val="9"/>
            <color indexed="81"/>
            <rFont val="Tahoma"/>
            <family val="2"/>
            <charset val="204"/>
          </rPr>
          <t xml:space="preserve">
</t>
        </r>
      </text>
    </comment>
    <comment ref="C132" authorId="0" shapeId="0" xr:uid="{4241075E-24CC-4FF5-BFC0-7D6BB91E62DF}">
      <text>
        <r>
          <rPr>
            <b/>
            <sz val="9"/>
            <color indexed="81"/>
            <rFont val="Tahoma"/>
            <family val="2"/>
            <charset val="204"/>
          </rPr>
          <t>Рыночная стоимость в данном случае равна сумме собственного и заёмного капиталов</t>
        </r>
        <r>
          <rPr>
            <sz val="9"/>
            <color indexed="81"/>
            <rFont val="Tahoma"/>
            <family val="2"/>
            <charset val="204"/>
          </rPr>
          <t xml:space="preserve">
</t>
        </r>
      </text>
    </comment>
    <comment ref="C135" authorId="0" shapeId="0" xr:uid="{4C0DF95B-C090-42EA-BA72-3E0867852FCD}">
      <text>
        <r>
          <rPr>
            <b/>
            <sz val="9"/>
            <color indexed="81"/>
            <rFont val="Tahoma"/>
            <family val="2"/>
            <charset val="204"/>
          </rPr>
          <t>Текущая стоимость аннуитета из шести денежных потоков</t>
        </r>
        <r>
          <rPr>
            <sz val="9"/>
            <color indexed="81"/>
            <rFont val="Tahoma"/>
            <family val="2"/>
            <charset val="204"/>
          </rPr>
          <t xml:space="preserve">
</t>
        </r>
      </text>
    </comment>
    <comment ref="C138" authorId="0" shapeId="0" xr:uid="{E08CA2AE-A949-485C-B6E9-C91D53F3F694}">
      <text>
        <r>
          <rPr>
            <b/>
            <sz val="9"/>
            <color indexed="81"/>
            <rFont val="Tahoma"/>
            <family val="2"/>
            <charset val="204"/>
          </rPr>
          <t>Текущая стоимость будущей стоимости реверсии</t>
        </r>
      </text>
    </comment>
    <comment ref="C197" authorId="0" shapeId="0" xr:uid="{85243C0B-A8C7-496C-A9B8-1620CA6EAECB}">
      <text>
        <r>
          <rPr>
            <b/>
            <sz val="9"/>
            <color indexed="81"/>
            <rFont val="Tahoma"/>
            <family val="2"/>
            <charset val="204"/>
          </rPr>
          <t>Не забываем про знаки "минус" при затратах на строительство</t>
        </r>
        <r>
          <rPr>
            <sz val="9"/>
            <color indexed="81"/>
            <rFont val="Tahoma"/>
            <family val="2"/>
            <charset val="204"/>
          </rPr>
          <t xml:space="preserve">
</t>
        </r>
      </text>
    </comment>
    <comment ref="C208" authorId="0" shapeId="0" xr:uid="{AE746845-4F6C-42C9-AC55-D84B5F61E49A}">
      <text>
        <r>
          <rPr>
            <b/>
            <sz val="9"/>
            <color indexed="81"/>
            <rFont val="Tahoma"/>
            <family val="2"/>
            <charset val="204"/>
          </rPr>
          <t>Факторы стоимости выше, в расчёте обязательств</t>
        </r>
        <r>
          <rPr>
            <sz val="9"/>
            <color indexed="81"/>
            <rFont val="Tahoma"/>
            <family val="2"/>
            <charset val="204"/>
          </rPr>
          <t xml:space="preserve">
</t>
        </r>
      </text>
    </comment>
    <comment ref="D219" authorId="0" shapeId="0" xr:uid="{09DFD08C-9E91-494B-B403-482F8A91BE69}">
      <text>
        <r>
          <rPr>
            <b/>
            <sz val="9"/>
            <color indexed="81"/>
            <rFont val="Tahoma"/>
            <family val="2"/>
            <charset val="204"/>
          </rPr>
          <t>Дисконтируем на конец второго периода, как указано в середине условия задачи.</t>
        </r>
        <r>
          <rPr>
            <sz val="9"/>
            <color indexed="81"/>
            <rFont val="Tahoma"/>
            <family val="2"/>
            <charset val="204"/>
          </rPr>
          <t xml:space="preserve">
</t>
        </r>
      </text>
    </comment>
    <comment ref="F276" authorId="0" shapeId="0" xr:uid="{7B09402C-024D-4303-BFE8-7090B2B69E68}">
      <text>
        <r>
          <rPr>
            <b/>
            <sz val="9"/>
            <color indexed="81"/>
            <rFont val="Tahoma"/>
            <family val="2"/>
            <charset val="204"/>
          </rPr>
          <t>Дисконтируется на конец последнего прогнозного периода</t>
        </r>
        <r>
          <rPr>
            <sz val="9"/>
            <color indexed="81"/>
            <rFont val="Tahoma"/>
            <family val="2"/>
            <charset val="204"/>
          </rPr>
          <t xml:space="preserve">
</t>
        </r>
      </text>
    </comment>
    <comment ref="C277" authorId="0" shapeId="0" xr:uid="{78DB896B-4E58-45E4-BBDC-E8E74EA744F2}">
      <text>
        <r>
          <rPr>
            <b/>
            <sz val="9"/>
            <color indexed="81"/>
            <rFont val="Tahoma"/>
            <family val="2"/>
            <charset val="204"/>
          </rPr>
          <t>Не забываем про знак</t>
        </r>
        <r>
          <rPr>
            <sz val="9"/>
            <color indexed="81"/>
            <rFont val="Tahoma"/>
            <family val="2"/>
            <charset val="204"/>
          </rPr>
          <t xml:space="preserve">
</t>
        </r>
      </text>
    </comment>
    <comment ref="D277" authorId="0" shapeId="0" xr:uid="{D05508F3-8037-4B7D-B71B-16947B66C2F9}">
      <text>
        <r>
          <rPr>
            <b/>
            <sz val="9"/>
            <color indexed="81"/>
            <rFont val="Tahoma"/>
            <family val="2"/>
            <charset val="204"/>
          </rPr>
          <t>Те задачи, когда важно разделение групп разрядов</t>
        </r>
        <r>
          <rPr>
            <sz val="9"/>
            <color indexed="81"/>
            <rFont val="Tahoma"/>
            <family val="2"/>
            <charset val="204"/>
          </rPr>
          <t xml:space="preserve">
</t>
        </r>
      </text>
    </comment>
    <comment ref="E280" authorId="0" shapeId="0" xr:uid="{BFDEA881-2FEF-447D-BE09-9A2E4FF1A5AA}">
      <text>
        <r>
          <rPr>
            <b/>
            <sz val="9"/>
            <color indexed="81"/>
            <rFont val="Tahoma"/>
            <family val="2"/>
            <charset val="204"/>
          </rPr>
          <t>На экзамене встречается как загрузка, так и недозагрузка.</t>
        </r>
        <r>
          <rPr>
            <sz val="9"/>
            <color indexed="81"/>
            <rFont val="Tahoma"/>
            <family val="2"/>
            <charset val="204"/>
          </rPr>
          <t xml:space="preserve">
</t>
        </r>
      </text>
    </comment>
    <comment ref="F283" authorId="0" shapeId="0" xr:uid="{84A52F6B-4026-4C94-AEEE-C281D50882CF}">
      <text>
        <r>
          <rPr>
            <b/>
            <sz val="9"/>
            <color indexed="81"/>
            <rFont val="Tahoma"/>
            <family val="2"/>
            <charset val="204"/>
          </rPr>
          <t>Возможно условие задачи, при котором ДОПОЛНИТЕЛЬНО к вышеизложенному условию будет приведена цена продажи объекта после окончания прогнозного периода. Тогда расчет терминальной стоимость не производится, а берётся из условия задачи.</t>
        </r>
        <r>
          <rPr>
            <sz val="9"/>
            <color indexed="81"/>
            <rFont val="Tahoma"/>
            <family val="2"/>
            <charset val="204"/>
          </rPr>
          <t xml:space="preserve">
</t>
        </r>
      </text>
    </comment>
    <comment ref="C310" authorId="0" shapeId="0" xr:uid="{A1786EE2-8D02-4662-9888-F3CAFDEBFFF1}">
      <text>
        <r>
          <rPr>
            <b/>
            <sz val="9"/>
            <color indexed="81"/>
            <rFont val="Tahoma"/>
            <family val="2"/>
            <charset val="204"/>
          </rPr>
          <t>Текущая стоимость аннуитета из десяти денежных потоков по ставке на собственный капитал</t>
        </r>
        <r>
          <rPr>
            <sz val="9"/>
            <color indexed="81"/>
            <rFont val="Tahoma"/>
            <family val="2"/>
            <charset val="204"/>
          </rPr>
          <t xml:space="preserve">
</t>
        </r>
      </text>
    </comment>
    <comment ref="E349" authorId="0" shapeId="0" xr:uid="{E65FD7E7-0FB1-46DC-8580-3D9AB52E9A5F}">
      <text>
        <r>
          <rPr>
            <b/>
            <sz val="9"/>
            <color indexed="81"/>
            <rFont val="Tahoma"/>
            <family val="2"/>
            <charset val="204"/>
          </rPr>
          <t>Третий прогнозный + будущая стоимость реверсии.</t>
        </r>
        <r>
          <rPr>
            <sz val="9"/>
            <color indexed="81"/>
            <rFont val="Tahoma"/>
            <family val="2"/>
            <charset val="204"/>
          </rPr>
          <t xml:space="preserve">
Вариант как упростить процесс дисконтирования</t>
        </r>
      </text>
    </comment>
    <comment ref="F358" authorId="0" shapeId="0" xr:uid="{47E92D22-C859-4185-9A44-5D052144479B}">
      <text>
        <r>
          <rPr>
            <b/>
            <sz val="9"/>
            <color indexed="81"/>
            <rFont val="Tahoma"/>
            <family val="2"/>
            <charset val="204"/>
          </rPr>
          <t>Дисконтируется на конец последнего прогнозного периода</t>
        </r>
        <r>
          <rPr>
            <sz val="9"/>
            <color indexed="81"/>
            <rFont val="Tahoma"/>
            <family val="2"/>
            <charset val="204"/>
          </rPr>
          <t xml:space="preserve">
</t>
        </r>
      </text>
    </comment>
    <comment ref="C359" authorId="0" shapeId="0" xr:uid="{6286BEFC-1B3D-4883-AC4E-E11F988DC9A0}">
      <text>
        <r>
          <rPr>
            <b/>
            <sz val="9"/>
            <color indexed="81"/>
            <rFont val="Tahoma"/>
            <family val="2"/>
            <charset val="204"/>
          </rPr>
          <t>Не забываем про знак</t>
        </r>
        <r>
          <rPr>
            <sz val="9"/>
            <color indexed="81"/>
            <rFont val="Tahoma"/>
            <family val="2"/>
            <charset val="204"/>
          </rPr>
          <t xml:space="preserve">
</t>
        </r>
      </text>
    </comment>
    <comment ref="D359" authorId="0" shapeId="0" xr:uid="{488D36F9-4A65-4041-844F-55DDBD433005}">
      <text>
        <r>
          <rPr>
            <b/>
            <sz val="9"/>
            <color indexed="81"/>
            <rFont val="Tahoma"/>
            <family val="2"/>
            <charset val="204"/>
          </rPr>
          <t>Не забываем про знак</t>
        </r>
        <r>
          <rPr>
            <sz val="9"/>
            <color indexed="81"/>
            <rFont val="Tahoma"/>
            <family val="2"/>
            <charset val="204"/>
          </rPr>
          <t xml:space="preserve">
</t>
        </r>
      </text>
    </comment>
    <comment ref="E362" authorId="0" shapeId="0" xr:uid="{FE62BCE1-3B6C-487B-8414-E76F599C8341}">
      <text>
        <r>
          <rPr>
            <b/>
            <sz val="9"/>
            <color indexed="81"/>
            <rFont val="Tahoma"/>
            <family val="2"/>
            <charset val="204"/>
          </rPr>
          <t>На экзамене встречается как загрузка, так и недозагрузка.</t>
        </r>
        <r>
          <rPr>
            <sz val="9"/>
            <color indexed="81"/>
            <rFont val="Tahoma"/>
            <family val="2"/>
            <charset val="204"/>
          </rPr>
          <t xml:space="preserve">
</t>
        </r>
      </text>
    </comment>
    <comment ref="F366" authorId="0" shapeId="0" xr:uid="{FF822D1B-AFE0-403C-B098-C984EABFAC18}">
      <text>
        <r>
          <rPr>
            <b/>
            <sz val="9"/>
            <color indexed="81"/>
            <rFont val="Tahoma"/>
            <family val="2"/>
            <charset val="204"/>
          </rPr>
          <t>Данные для постпрогноза в условии ЛИШНИЕ. Терминальная стоимость указана в условии - 115000р. за 1 кв.м. ОБЩЕЙ площади</t>
        </r>
        <r>
          <rPr>
            <sz val="9"/>
            <color indexed="81"/>
            <rFont val="Tahoma"/>
            <family val="2"/>
            <charset val="204"/>
          </rPr>
          <t xml:space="preserve">
</t>
        </r>
      </text>
    </comment>
    <comment ref="F377" authorId="0" shapeId="0" xr:uid="{25B530AF-E4BA-4108-9E03-8F0E440584E2}">
      <text>
        <r>
          <rPr>
            <b/>
            <sz val="9"/>
            <color indexed="81"/>
            <rFont val="Tahoma"/>
            <family val="2"/>
            <charset val="204"/>
          </rPr>
          <t>Дисконтируется на конец последнего прогнозного периода</t>
        </r>
        <r>
          <rPr>
            <sz val="9"/>
            <color indexed="81"/>
            <rFont val="Tahoma"/>
            <family val="2"/>
            <charset val="204"/>
          </rPr>
          <t xml:space="preserve">
</t>
        </r>
      </text>
    </comment>
    <comment ref="C378" authorId="0" shapeId="0" xr:uid="{F7046091-308E-479C-81D9-6190697E7182}">
      <text>
        <r>
          <rPr>
            <b/>
            <sz val="9"/>
            <color indexed="81"/>
            <rFont val="Tahoma"/>
            <family val="2"/>
            <charset val="204"/>
          </rPr>
          <t>Не забываем про знак</t>
        </r>
        <r>
          <rPr>
            <sz val="9"/>
            <color indexed="81"/>
            <rFont val="Tahoma"/>
            <family val="2"/>
            <charset val="204"/>
          </rPr>
          <t xml:space="preserve">
</t>
        </r>
      </text>
    </comment>
    <comment ref="D378" authorId="0" shapeId="0" xr:uid="{9C48FF6A-4189-4E59-ACA3-174F62230B9C}">
      <text>
        <r>
          <rPr>
            <b/>
            <sz val="9"/>
            <color indexed="81"/>
            <rFont val="Tahoma"/>
            <family val="2"/>
            <charset val="204"/>
          </rPr>
          <t>Не забываем про знак</t>
        </r>
        <r>
          <rPr>
            <sz val="9"/>
            <color indexed="81"/>
            <rFont val="Tahoma"/>
            <family val="2"/>
            <charset val="204"/>
          </rPr>
          <t xml:space="preserve">
</t>
        </r>
      </text>
    </comment>
    <comment ref="E381" authorId="0" shapeId="0" xr:uid="{824E17C2-DC67-456A-BB1A-EA5EDB63BEA9}">
      <text>
        <r>
          <rPr>
            <b/>
            <sz val="9"/>
            <color indexed="81"/>
            <rFont val="Tahoma"/>
            <family val="2"/>
            <charset val="204"/>
          </rPr>
          <t>На экзамене встречается как загрузка, так и недозагрузка.</t>
        </r>
        <r>
          <rPr>
            <sz val="9"/>
            <color indexed="81"/>
            <rFont val="Tahoma"/>
            <family val="2"/>
            <charset val="204"/>
          </rPr>
          <t xml:space="preserve">
</t>
        </r>
      </text>
    </comment>
    <comment ref="F385" authorId="0" shapeId="0" xr:uid="{79FF7C38-E2FB-4967-85AF-F3B68B03ED68}">
      <text>
        <r>
          <rPr>
            <b/>
            <sz val="9"/>
            <color indexed="81"/>
            <rFont val="Tahoma"/>
            <family val="2"/>
            <charset val="204"/>
          </rPr>
          <t>Данные для постпрогноза в условии ЛИШНИЕ. Терминальная стоимость указана в условии - 115000р. за 1 кв.м. ОБЩЕЙ площади</t>
        </r>
        <r>
          <rPr>
            <sz val="9"/>
            <color indexed="81"/>
            <rFont val="Tahoma"/>
            <family val="2"/>
            <charset val="204"/>
          </rPr>
          <t xml:space="preserve">
</t>
        </r>
      </text>
    </comment>
    <comment ref="G389" authorId="0" shapeId="0" xr:uid="{9F38E70A-9E5D-45E3-AC07-018655920BC3}">
      <text>
        <r>
          <rPr>
            <b/>
            <sz val="9"/>
            <color indexed="81"/>
            <rFont val="Tahoma"/>
            <family val="2"/>
            <charset val="204"/>
          </rPr>
          <t>Устанавливаем курсор в этой ячейке, нажимаем Alt + "=", и жмем Enter</t>
        </r>
        <r>
          <rPr>
            <sz val="9"/>
            <color indexed="81"/>
            <rFont val="Tahoma"/>
            <family val="2"/>
            <charset val="204"/>
          </rPr>
          <t xml:space="preserve">
</t>
        </r>
      </text>
    </comment>
    <comment ref="C398" authorId="0" shapeId="0" xr:uid="{D06673DB-32BB-4A7F-86C6-2A23919123FD}">
      <text>
        <r>
          <rPr>
            <b/>
            <sz val="9"/>
            <color indexed="81"/>
            <rFont val="Tahoma"/>
            <family val="2"/>
            <charset val="204"/>
          </rPr>
          <t>Если затраты со знаком минус, то выручку и затраты складываем, если затраты поставили со знаком плюс - вычитаем</t>
        </r>
        <r>
          <rPr>
            <sz val="9"/>
            <color indexed="81"/>
            <rFont val="Tahoma"/>
            <family val="2"/>
            <charset val="204"/>
          </rPr>
          <t xml:space="preserve">
</t>
        </r>
      </text>
    </comment>
    <comment ref="C415" authorId="0" shapeId="0" xr:uid="{1E7EF28D-340C-4467-893E-F76BC5427F4D}">
      <text>
        <r>
          <rPr>
            <b/>
            <sz val="9"/>
            <color indexed="81"/>
            <rFont val="Tahoma"/>
            <family val="2"/>
            <charset val="204"/>
          </rPr>
          <t>Для ЗУ ставка дисконтирования равна ставке капитализации, поскольку земля - неизнашиваемый актив, и для неё отсутствует норма возврата.</t>
        </r>
        <r>
          <rPr>
            <sz val="9"/>
            <color indexed="81"/>
            <rFont val="Tahoma"/>
            <family val="2"/>
            <charset val="204"/>
          </rPr>
          <t xml:space="preserve">
</t>
        </r>
      </text>
    </comment>
    <comment ref="F456" authorId="0" shapeId="0" xr:uid="{CDA27B6B-D94F-40DA-98F1-34072B5B5F00}">
      <text>
        <r>
          <rPr>
            <b/>
            <sz val="9"/>
            <color indexed="81"/>
            <rFont val="Tahoma"/>
            <family val="2"/>
            <charset val="204"/>
          </rPr>
          <t>Терминальная стоимость (реверсия) дисконтируется на конец последнего прогнозного периода</t>
        </r>
        <r>
          <rPr>
            <sz val="9"/>
            <color indexed="81"/>
            <rFont val="Tahoma"/>
            <family val="2"/>
            <charset val="204"/>
          </rPr>
          <t xml:space="preserve">
</t>
        </r>
      </text>
    </comment>
    <comment ref="F471" authorId="0" shapeId="0" xr:uid="{B851E12F-55FF-4252-B3B0-46D657B6219D}">
      <text>
        <r>
          <rPr>
            <b/>
            <sz val="9"/>
            <color indexed="81"/>
            <rFont val="Tahoma"/>
            <family val="2"/>
            <charset val="204"/>
          </rPr>
          <t>Не путайте ставку терминальной капитализации и ставку дисконтирования для  терминальной стоимости</t>
        </r>
        <r>
          <rPr>
            <sz val="9"/>
            <color indexed="81"/>
            <rFont val="Tahoma"/>
            <family val="2"/>
            <charset val="204"/>
          </rPr>
          <t xml:space="preserve">
</t>
        </r>
      </text>
    </comment>
    <comment ref="F472" authorId="0" shapeId="0" xr:uid="{165210DF-8643-4BCE-9AE8-8B90443A2687}">
      <text>
        <r>
          <rPr>
            <b/>
            <sz val="9"/>
            <color indexed="81"/>
            <rFont val="Tahoma"/>
            <family val="2"/>
            <charset val="204"/>
          </rPr>
          <t>Иногда ошибки связаны с тем, что, копируя формулы, дисконтируют не терминальную стоимость, а ЧОД постпрогноза</t>
        </r>
        <r>
          <rPr>
            <sz val="9"/>
            <color indexed="81"/>
            <rFont val="Tahoma"/>
            <family val="2"/>
            <charset val="204"/>
          </rPr>
          <t xml:space="preserve">
</t>
        </r>
      </text>
    </comment>
    <comment ref="F488" authorId="0" shapeId="0" xr:uid="{1EA87A48-864C-4F22-896C-BF8D7115914D}">
      <text>
        <r>
          <rPr>
            <b/>
            <sz val="9"/>
            <color indexed="81"/>
            <rFont val="Tahoma"/>
            <family val="2"/>
            <charset val="204"/>
          </rPr>
          <t>Реверсия на конец последнего прогнозного периода</t>
        </r>
        <r>
          <rPr>
            <sz val="9"/>
            <color indexed="81"/>
            <rFont val="Tahoma"/>
            <family val="2"/>
            <charset val="204"/>
          </rPr>
          <t xml:space="preserve">
</t>
        </r>
      </text>
    </comment>
    <comment ref="F507" authorId="0" shapeId="0" xr:uid="{1505B637-FEAB-4332-9D75-0A93B6AEC692}">
      <text>
        <r>
          <rPr>
            <b/>
            <sz val="9"/>
            <color indexed="81"/>
            <rFont val="Tahoma"/>
            <family val="2"/>
            <charset val="204"/>
          </rPr>
          <t>Терминальная стоимость (реверсия) дисконтируется на конец последнего прогнозного периода</t>
        </r>
        <r>
          <rPr>
            <sz val="9"/>
            <color indexed="81"/>
            <rFont val="Tahoma"/>
            <family val="2"/>
            <charset val="204"/>
          </rPr>
          <t xml:space="preserve">
</t>
        </r>
      </text>
    </comment>
    <comment ref="F522" authorId="0" shapeId="0" xr:uid="{E851DBF9-E943-4523-A4DD-074334EE218B}">
      <text>
        <r>
          <rPr>
            <b/>
            <sz val="9"/>
            <color indexed="81"/>
            <rFont val="Tahoma"/>
            <family val="2"/>
            <charset val="204"/>
          </rPr>
          <t>Не путайте ставку терминальной капитализации и ставку дисконтирования для  терминальной стоимости</t>
        </r>
        <r>
          <rPr>
            <sz val="9"/>
            <color indexed="81"/>
            <rFont val="Tahoma"/>
            <family val="2"/>
            <charset val="204"/>
          </rPr>
          <t xml:space="preserve">
</t>
        </r>
      </text>
    </comment>
    <comment ref="F523" authorId="0" shapeId="0" xr:uid="{BDC32572-C74C-451A-A087-05F822C1E518}">
      <text>
        <r>
          <rPr>
            <b/>
            <sz val="9"/>
            <color indexed="81"/>
            <rFont val="Tahoma"/>
            <family val="2"/>
            <charset val="204"/>
          </rPr>
          <t>Иногда ошибки связаны с тем, что, копируя формулы, дисконтируют не терминальную стоимость, а ЧОД постпрогноза</t>
        </r>
        <r>
          <rPr>
            <sz val="9"/>
            <color indexed="81"/>
            <rFont val="Tahoma"/>
            <family val="2"/>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D60" authorId="0" shapeId="0" xr:uid="{D7F17873-84B2-4D93-9751-95B3353108E2}">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F60" authorId="0" shapeId="0" xr:uid="{3672C3A9-0E24-40E8-B3A8-CF21FEF2E796}">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I60" authorId="0" shapeId="0" xr:uid="{CB31380A-9FDD-453D-B0FB-348B4C8B93A1}">
      <text>
        <r>
          <rPr>
            <b/>
            <sz val="9"/>
            <color indexed="81"/>
            <rFont val="Tahoma"/>
            <family val="2"/>
            <charset val="204"/>
          </rPr>
          <t>Относительная стоимость</t>
        </r>
      </text>
    </comment>
    <comment ref="D66" authorId="0" shapeId="0" xr:uid="{1DB6BCB6-7591-4868-8A4A-8EA8EC624040}">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E66" authorId="0" shapeId="0" xr:uid="{80D0EEF7-3C61-4320-90D1-995B281AAF05}">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I68" authorId="0" shapeId="0" xr:uid="{6009DD60-6F81-4A6F-97DB-92ECE32D1F55}">
      <text>
        <r>
          <rPr>
            <b/>
            <sz val="9"/>
            <color indexed="81"/>
            <rFont val="Tahoma"/>
            <family val="2"/>
            <charset val="204"/>
          </rPr>
          <t>Относительная стоимость</t>
        </r>
      </text>
    </comment>
    <comment ref="E69" authorId="0" shapeId="0" xr:uid="{C946235F-674B-48C0-9058-15BF6E991327}">
      <text>
        <r>
          <rPr>
            <b/>
            <sz val="9"/>
            <color indexed="81"/>
            <rFont val="Tahoma"/>
            <family val="2"/>
            <charset val="204"/>
          </rPr>
          <t>Корректировка учтена в ТИПе</t>
        </r>
        <r>
          <rPr>
            <sz val="9"/>
            <color indexed="81"/>
            <rFont val="Tahoma"/>
            <family val="2"/>
            <charset val="204"/>
          </rPr>
          <t xml:space="preserve">
</t>
        </r>
      </text>
    </comment>
    <comment ref="I69" authorId="0" shapeId="0" xr:uid="{C5E23043-E11D-493B-8119-216CB2631A5E}">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I70" authorId="0" shapeId="0" xr:uid="{92DB94D3-BC10-441F-A692-6CFEDD79F302}">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D72" authorId="0" shapeId="0" xr:uid="{5AB34508-F346-407D-8F8F-F7BBC4AD06AA}">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E72" authorId="0" shapeId="0" xr:uid="{022FFB92-B6B8-4EE7-84F4-57826588A934}">
      <text>
        <r>
          <rPr>
            <b/>
            <sz val="9"/>
            <color indexed="81"/>
            <rFont val="Tahoma"/>
            <family val="2"/>
            <charset val="204"/>
          </rPr>
          <t>ОА не отличается по данному фактору от ОО. Сразу ставим 1</t>
        </r>
        <r>
          <rPr>
            <sz val="9"/>
            <color indexed="81"/>
            <rFont val="Tahoma"/>
            <family val="2"/>
            <charset val="204"/>
          </rPr>
          <t xml:space="preserve">
</t>
        </r>
      </text>
    </comment>
    <comment ref="D73" authorId="0" shapeId="0" xr:uid="{FC25087E-64C2-4EA0-8849-4DD6F78A42E3}">
      <text>
        <r>
          <rPr>
            <b/>
            <sz val="9"/>
            <color indexed="81"/>
            <rFont val="Tahoma"/>
            <family val="2"/>
            <charset val="204"/>
          </rPr>
          <t>Данный тип решения (когда цена предложения корректируется один раз на итоговый коэффициент) рекомендуется только для экзамена в целях ускорения решения</t>
        </r>
        <r>
          <rPr>
            <sz val="9"/>
            <color indexed="81"/>
            <rFont val="Tahoma"/>
            <family val="2"/>
            <charset val="204"/>
          </rPr>
          <t xml:space="preserve">
</t>
        </r>
      </text>
    </comment>
    <comment ref="D76" authorId="0" shapeId="0" xr:uid="{624CA739-42F2-428E-83EC-38C3A3E545D0}">
      <text>
        <r>
          <rPr>
            <b/>
            <sz val="9"/>
            <color indexed="81"/>
            <rFont val="Tahoma"/>
            <family val="2"/>
            <charset val="204"/>
          </rPr>
          <t>Не надо округлять или вписывать вручную 0,33!!!</t>
        </r>
        <r>
          <rPr>
            <sz val="9"/>
            <color indexed="81"/>
            <rFont val="Tahoma"/>
            <family val="2"/>
            <charset val="204"/>
          </rPr>
          <t xml:space="preserve">
</t>
        </r>
      </text>
    </comment>
    <comment ref="I147" authorId="0" shapeId="0" xr:uid="{AFF2DD5F-9519-46AB-97F1-E615EFEAA3D1}">
      <text>
        <r>
          <rPr>
            <b/>
            <sz val="9"/>
            <color indexed="81"/>
            <rFont val="Tahoma"/>
            <family val="2"/>
            <charset val="204"/>
          </rPr>
          <t>Относительная стоимость</t>
        </r>
      </text>
    </comment>
    <comment ref="I155" authorId="0" shapeId="0" xr:uid="{7306FAB5-A147-4E3D-9C1D-B152B84BAC59}">
      <text>
        <r>
          <rPr>
            <b/>
            <sz val="9"/>
            <color indexed="81"/>
            <rFont val="Tahoma"/>
            <family val="2"/>
            <charset val="204"/>
          </rPr>
          <t>Относительная стоимость</t>
        </r>
      </text>
    </comment>
    <comment ref="I156" authorId="0" shapeId="0" xr:uid="{D59D1C23-3526-41CD-A532-F750F964FC5C}">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I157" authorId="0" shapeId="0" xr:uid="{B4A0545C-4A88-4480-8D7A-C35D24A5A16B}">
      <text>
        <r>
          <rPr>
            <b/>
            <sz val="9"/>
            <color indexed="81"/>
            <rFont val="Tahoma"/>
            <family val="2"/>
            <charset val="204"/>
          </rPr>
          <t>Поскольку корректировки приведены со знаком "минус", в скобках ставим "плюс"</t>
        </r>
        <r>
          <rPr>
            <sz val="9"/>
            <color indexed="81"/>
            <rFont val="Tahoma"/>
            <family val="2"/>
            <charset val="204"/>
          </rPr>
          <t xml:space="preserve">
</t>
        </r>
      </text>
    </comment>
    <comment ref="D163" authorId="0" shapeId="0" xr:uid="{F0D1C55C-61CD-4377-AD0F-5A933DFA1A5A}">
      <text>
        <r>
          <rPr>
            <b/>
            <sz val="9"/>
            <color indexed="81"/>
            <rFont val="Tahoma"/>
            <family val="2"/>
            <charset val="204"/>
          </rPr>
          <t>Не надо округлять или вписывать вручную 0,33!!!</t>
        </r>
        <r>
          <rPr>
            <sz val="9"/>
            <color indexed="81"/>
            <rFont val="Tahoma"/>
            <family val="2"/>
            <charset val="204"/>
          </rPr>
          <t xml:space="preserve">
</t>
        </r>
      </text>
    </comment>
  </commentList>
</comments>
</file>

<file path=xl/sharedStrings.xml><?xml version="1.0" encoding="utf-8"?>
<sst xmlns="http://schemas.openxmlformats.org/spreadsheetml/2006/main" count="1860" uniqueCount="857">
  <si>
    <t>Период</t>
  </si>
  <si>
    <t>Постпрогноз</t>
  </si>
  <si>
    <t>Общая площадь</t>
  </si>
  <si>
    <t>Арендопригодная площадь</t>
  </si>
  <si>
    <t>Недозагрузка, %</t>
  </si>
  <si>
    <t>Арендуемая площадь</t>
  </si>
  <si>
    <t>Компенсация ОР, руб.</t>
  </si>
  <si>
    <t>ДВД, руб.</t>
  </si>
  <si>
    <t>ДВД + компенсация ОР, руб.</t>
  </si>
  <si>
    <t>Фактические ОР, руб.</t>
  </si>
  <si>
    <t>ЧОД, руб.</t>
  </si>
  <si>
    <t>Фактические ОР, руб./кв.м.</t>
  </si>
  <si>
    <t>Компенсация ОР, руб./кв.м.</t>
  </si>
  <si>
    <t>Арендная ставка, руб./кв.м.</t>
  </si>
  <si>
    <t>Ставка терминальной капитализации</t>
  </si>
  <si>
    <t>Терминальная стоимость</t>
  </si>
  <si>
    <t>Ставка дисконтирования</t>
  </si>
  <si>
    <t>Текущая стоимость</t>
  </si>
  <si>
    <t>Рыночная арендная плата</t>
  </si>
  <si>
    <t>ПВД</t>
  </si>
  <si>
    <t>Эффективный возраст</t>
  </si>
  <si>
    <t>Срок экономической жизни</t>
  </si>
  <si>
    <t>Срок экспозиции, мес</t>
  </si>
  <si>
    <t>Безрисковая ставка</t>
  </si>
  <si>
    <t>Риск вложений в недвижимость</t>
  </si>
  <si>
    <t>Инвестиционный менеджмент</t>
  </si>
  <si>
    <t>Расчет:</t>
  </si>
  <si>
    <t>Оставшийся срок эконом. жизни</t>
  </si>
  <si>
    <t>Риск низкой ликвидности</t>
  </si>
  <si>
    <t>Норма возврата</t>
  </si>
  <si>
    <t>Ставка капитализации</t>
  </si>
  <si>
    <t>ЧОД ЕОН</t>
  </si>
  <si>
    <t>Затраты на замещение</t>
  </si>
  <si>
    <t>КК для ЗУ</t>
  </si>
  <si>
    <t>КК для улучшений</t>
  </si>
  <si>
    <t>Решение:</t>
  </si>
  <si>
    <t>ЧОД от улучшений</t>
  </si>
  <si>
    <t>ЧОД от ЗУ</t>
  </si>
  <si>
    <t>РС ЕОН</t>
  </si>
  <si>
    <t>Прямые затраты</t>
  </si>
  <si>
    <t>Косвенные издержки</t>
  </si>
  <si>
    <t>РС ЕОН = (Прямые затраты + Косвенные издержки + ПП) + ЗУ</t>
  </si>
  <si>
    <t>Косвенные издержки, в % от прямых</t>
  </si>
  <si>
    <t>ПП</t>
  </si>
  <si>
    <t>ПП, в % от ЕОН</t>
  </si>
  <si>
    <t>РС ЗУ</t>
  </si>
  <si>
    <t>Затраты на строительство</t>
  </si>
  <si>
    <t>ПВД за 1 кв.м. арендопригодной</t>
  </si>
  <si>
    <t>Загрузка</t>
  </si>
  <si>
    <t>ДВД</t>
  </si>
  <si>
    <t>Денежный поток</t>
  </si>
  <si>
    <t>Фактор текущей стоимости</t>
  </si>
  <si>
    <t>Текущая стоимость потока</t>
  </si>
  <si>
    <t>РС</t>
  </si>
  <si>
    <r>
      <t xml:space="preserve">Фактор для </t>
    </r>
    <r>
      <rPr>
        <b/>
        <sz val="14"/>
        <color rgb="FFFF0000"/>
        <rFont val="Calibri"/>
        <family val="2"/>
        <charset val="204"/>
        <scheme val="minor"/>
      </rPr>
      <t>одного</t>
    </r>
    <r>
      <rPr>
        <sz val="14"/>
        <color theme="1"/>
        <rFont val="Calibri"/>
        <family val="2"/>
        <charset val="204"/>
        <scheme val="minor"/>
      </rPr>
      <t xml:space="preserve"> года (К дисконтир.)</t>
    </r>
  </si>
  <si>
    <t>ЧОД</t>
  </si>
  <si>
    <t>Величина кредита</t>
  </si>
  <si>
    <t>Срок кредита, лет</t>
  </si>
  <si>
    <t>Ставка по кредиту</t>
  </si>
  <si>
    <t>Платёж по кредиту</t>
  </si>
  <si>
    <t>Реверсия</t>
  </si>
  <si>
    <t>ЧОД от объекта</t>
  </si>
  <si>
    <t>Платёж по кредиту (возврат остатка)</t>
  </si>
  <si>
    <t>Поток (собственный капитал)</t>
  </si>
  <si>
    <t>РС (собственный капитал)</t>
  </si>
  <si>
    <t>РС объекта</t>
  </si>
  <si>
    <t>Вариант 2</t>
  </si>
  <si>
    <t>Приведённая стоимость СК за 6 лет</t>
  </si>
  <si>
    <t>Приведённая стоимость реверсии</t>
  </si>
  <si>
    <t>РС (собственный  капитал)</t>
  </si>
  <si>
    <t>Будущая стоимость</t>
  </si>
  <si>
    <t>Количество лет</t>
  </si>
  <si>
    <t>Ставка</t>
  </si>
  <si>
    <t>Безрисковая</t>
  </si>
  <si>
    <t>Премия за риск вложения</t>
  </si>
  <si>
    <t xml:space="preserve">Площадь </t>
  </si>
  <si>
    <r>
      <t xml:space="preserve">Арендная ставка, </t>
    </r>
    <r>
      <rPr>
        <b/>
        <sz val="14"/>
        <color rgb="FFFF0000"/>
        <rFont val="Calibri"/>
        <family val="2"/>
        <charset val="204"/>
        <scheme val="minor"/>
      </rPr>
      <t>в месяц</t>
    </r>
  </si>
  <si>
    <r>
      <t xml:space="preserve">Возмещение расходов, </t>
    </r>
    <r>
      <rPr>
        <b/>
        <sz val="14"/>
        <color rgb="FFFF0000"/>
        <rFont val="Calibri"/>
        <family val="2"/>
        <charset val="204"/>
        <scheme val="minor"/>
      </rPr>
      <t>в месяц</t>
    </r>
  </si>
  <si>
    <t>ВРМ</t>
  </si>
  <si>
    <r>
      <t xml:space="preserve">Валовый доход, </t>
    </r>
    <r>
      <rPr>
        <b/>
        <sz val="14"/>
        <color rgb="FFFF0000"/>
        <rFont val="Calibri"/>
        <family val="2"/>
        <charset val="204"/>
        <scheme val="minor"/>
      </rPr>
      <t>за год</t>
    </r>
  </si>
  <si>
    <t>Рыночная стоимость</t>
  </si>
  <si>
    <t>РС улучшений</t>
  </si>
  <si>
    <t>Ставка для улучшений</t>
  </si>
  <si>
    <t>ЧОД улучшений</t>
  </si>
  <si>
    <t>ЧОД ЗУ</t>
  </si>
  <si>
    <t>Ставка для земли</t>
  </si>
  <si>
    <t>Денежный поток (обязательство)</t>
  </si>
  <si>
    <t>Фактор стоимости</t>
  </si>
  <si>
    <t>Денежный поток (по рынку)</t>
  </si>
  <si>
    <t>Поток</t>
  </si>
  <si>
    <t>ЗУ</t>
  </si>
  <si>
    <t>Разница в стоимостях ЗУ</t>
  </si>
  <si>
    <t>Продажа</t>
  </si>
  <si>
    <t>Стоимость ЗУ</t>
  </si>
  <si>
    <t>С округлением</t>
  </si>
  <si>
    <t>РС Улучшений</t>
  </si>
  <si>
    <t>Ставка капитализации для улучшений</t>
  </si>
  <si>
    <t>Ставка капитализации для ЗУ</t>
  </si>
  <si>
    <t>ЧОД Улучшений</t>
  </si>
  <si>
    <t>3.2.3.15. Рассчитать чистый операционный доход от земельного участка. Чистый операционный доход единого объекта недвижимости 200 000 руб., стоимость улучшений 800 000 рублей. Коэффициент капитализации 15% для улучшений и 10% для земельного участка.</t>
  </si>
  <si>
    <r>
      <t xml:space="preserve">3.2.3.2. Рассчитать ставку капитализации. На дату оценки срок </t>
    </r>
    <r>
      <rPr>
        <b/>
        <sz val="14"/>
        <color rgb="FFFF0000"/>
        <rFont val="Calibri"/>
        <family val="2"/>
        <charset val="204"/>
        <scheme val="minor"/>
      </rPr>
      <t>физической</t>
    </r>
    <r>
      <rPr>
        <b/>
        <sz val="14"/>
        <color theme="1"/>
        <rFont val="Calibri"/>
        <family val="2"/>
        <charset val="204"/>
        <scheme val="minor"/>
      </rPr>
      <t xml:space="preserve"> жизни здания составлял 15 лет, </t>
    </r>
    <r>
      <rPr>
        <b/>
        <sz val="14"/>
        <color rgb="FFFF0000"/>
        <rFont val="Calibri"/>
        <family val="2"/>
        <charset val="204"/>
        <scheme val="minor"/>
      </rPr>
      <t>эффективный</t>
    </r>
    <r>
      <rPr>
        <b/>
        <sz val="14"/>
        <color theme="1"/>
        <rFont val="Calibri"/>
        <family val="2"/>
        <charset val="204"/>
        <scheme val="minor"/>
      </rPr>
      <t xml:space="preserve"> возраст объекта - 30 лет. Полный срок </t>
    </r>
    <r>
      <rPr>
        <b/>
        <sz val="14"/>
        <color rgb="FFFF0000"/>
        <rFont val="Calibri"/>
        <family val="2"/>
        <charset val="204"/>
        <scheme val="minor"/>
      </rPr>
      <t>экономической</t>
    </r>
    <r>
      <rPr>
        <b/>
        <sz val="14"/>
        <color theme="1"/>
        <rFont val="Calibri"/>
        <family val="2"/>
        <charset val="204"/>
        <scheme val="minor"/>
      </rPr>
      <t xml:space="preserve"> жизни объекта - 60 лет. Безрисковая ставка инвестирования 6%, срок рыночной экспозиции объекта 3 месяца, премия за риск вложения в недвижимость - 4%, премия за инвестиционный менеджмент - 3%, средняя ставка кредитования по залог аналогичных объектов - 12%. Возврат инвестиций осуществляется по методу Инвуда. Результат округлить до сотых долей процента.</t>
    </r>
  </si>
  <si>
    <t>3.2.3.4. Чистый операционный доход от единого объекта недвижимости составляет 300 000 руб. в год, Затраты на замещение для улучшений с учетом износа и устареваний в текущих ценах составляют 600 000 руб., коэффициенты капитализации для земли и улучшений составляют 10% и 15% соответственно. Рассчитать ЧОД от земельного участка.</t>
  </si>
  <si>
    <t>3.2.3.5. Рассчитайте рыночную стоимость земельного участка методом остатка, если известно, что рыночная стоимость единого готового объекта недвижимости, который в соответствии с принципом НЭИ на нем целесообразно построить, составляет 2 000 000 руб., прямые затраты на строительство составляют 500 000 руб., косвенные издержки, в том числе проценты по кредитам - 20% от величины прямых затрат на строительство, сумма кредита составит 300 000 руб., среднерыночная прибыль девелопера при реализации подобных проектов - 25% от стоимости готового объекта. Результат округлить до тысяч рублей.</t>
  </si>
  <si>
    <t>3.2.3.7. Рассчитать ставку капитализации, если объект недвижимости был продан за 1 млн руб., потенциальный валовый доход составляет 200 тыс. руб. в год, действительный валовый доход – 190 тыс. руб. в год, чистый операционный доход – 150 тыс. руб. в год. Результат округлить до процентов.</t>
  </si>
  <si>
    <r>
      <t xml:space="preserve">3.2.3.8. Оценить рыночную стоимость недвижимости, чистый операционный доход которой в течение ближайших 6 лет составит – 35000 д.е. в год. В конце шестого года планируется продажа объекта за 220 000 д.е. Объект был приобретён с привлечением кредита в сумме 100 000 д.е. на срок 10 лет под </t>
    </r>
    <r>
      <rPr>
        <b/>
        <sz val="14"/>
        <color rgb="FFFF0000"/>
        <rFont val="Calibri"/>
        <family val="2"/>
        <charset val="204"/>
        <scheme val="minor"/>
      </rPr>
      <t>12%</t>
    </r>
    <r>
      <rPr>
        <b/>
        <sz val="14"/>
        <color theme="1"/>
        <rFont val="Calibri"/>
        <family val="2"/>
        <charset val="204"/>
        <scheme val="minor"/>
      </rPr>
      <t xml:space="preserve"> годовых с ежегодными выплатами в конце периода. Требуемая инвестором ставка дохода на вложенный собственный капитал </t>
    </r>
    <r>
      <rPr>
        <b/>
        <sz val="14"/>
        <color rgb="FFFF0000"/>
        <rFont val="Calibri"/>
        <family val="2"/>
        <charset val="204"/>
        <scheme val="minor"/>
      </rPr>
      <t>15%</t>
    </r>
    <r>
      <rPr>
        <b/>
        <sz val="14"/>
        <color theme="1"/>
        <rFont val="Calibri"/>
        <family val="2"/>
        <charset val="204"/>
        <scheme val="minor"/>
      </rPr>
      <t>.</t>
    </r>
  </si>
  <si>
    <t>3.2.3.9. Какая максимальная сумма может быть уплачена за здание на текущий момент, если предполагается, что через 4 года оно может быть продано не дороже чем за 2,8 млн. руб. В течение этих 4 лет доходы от здания позволят только покрывать расходы по его обслуживанию, а требуемая норма доходности для подобных проектов составляет 26% годовых (дисконтирование на конец периода). Среднерыночная ставка кредитования для аналогичных инвестиций составляет 18%. Результат округлить до тысяч рублей.</t>
  </si>
  <si>
    <t>3.2.3.12. Рассчитайте ставку капитализации для земли, если рыночная стоимость единого объекта недвижимости составляет 2 млн. руб., стоимость замещения улучшений с учетом износа и устареваний составляет 1,5 млн. руб, арендный доход, приносимый единым объектом недвижимости, составляет 200 тыс. руб./год а ставка капитализации для улучшений составляет 12%. Результат округлить до целых %.</t>
  </si>
  <si>
    <t>3.2.3.18. Определить рыночную стоимость единого объекта недвижимости. Стоимость земельного участка 110 000 руб. Годовой чистый операционный доход от улучшений 55 000 руб. Норма доходности 13%. Норму возврата определить по методу Хоскольда при том, что оставшийся срок экономической жизни 35 лет, безрисковая ставка 8%.</t>
  </si>
  <si>
    <t>Ставка дисконтирования (доходность)</t>
  </si>
  <si>
    <t>ОСЭЖ, лет</t>
  </si>
  <si>
    <t>Общая площадь, кв.м.</t>
  </si>
  <si>
    <t>Арендопригодная площадь, кв.м.</t>
  </si>
  <si>
    <t>Якоря:</t>
  </si>
  <si>
    <t>Арендуемая площадь, кв.м.</t>
  </si>
  <si>
    <t>Арендная ставка</t>
  </si>
  <si>
    <t>Компенсация ОР, всего</t>
  </si>
  <si>
    <t>ДВД + компенсация ОР</t>
  </si>
  <si>
    <t>ПВД =ДВД</t>
  </si>
  <si>
    <t>ОР собственника, за кв.м.</t>
  </si>
  <si>
    <t>ОР собственника, от общей</t>
  </si>
  <si>
    <t>Ставка капитализации реверсии</t>
  </si>
  <si>
    <t>Денежные потоки по годам</t>
  </si>
  <si>
    <t>Рынок:</t>
  </si>
  <si>
    <t>Выручка от продажи</t>
  </si>
  <si>
    <t>Затраты на продажу</t>
  </si>
  <si>
    <t>Рыночная стоимость ЗУ</t>
  </si>
  <si>
    <t>3.2.3.25. Рыночная стоимость расположенного на земельном участке здания составляет 3 млн руб., оставшийся срок его экономической жизни 25 лет. Норма возврата капитала определяется по методу Ринга. Ставка дисконтирования составляет 18%. Чистый операционный доход от единого объекта недвижимости в первый год эксплуатации составил 700 тыс. руб. Определите рыночную стоимость земельного участка.</t>
  </si>
  <si>
    <t>РС Здания</t>
  </si>
  <si>
    <t>Ставка капитализации для Здания</t>
  </si>
  <si>
    <t>ЧОД Здания</t>
  </si>
  <si>
    <t>Цена продажи аналога</t>
  </si>
  <si>
    <t>Площадь аналога больше на</t>
  </si>
  <si>
    <t>Цена дополнительного метра</t>
  </si>
  <si>
    <t>Гараж</t>
  </si>
  <si>
    <t>Корректировка на площадь</t>
  </si>
  <si>
    <t>РС объекта оценки</t>
  </si>
  <si>
    <t>3.2.2.2. Определить рыночную стоимость 5-х звёздочной гостиницы с годовым ЧОД 1 300 000 руб. Аналог 1: 5-х звёздочная гостиница продана за 8 400 000 руб., её годовой ЧОД составлял 900 000 руб. Аналог 2: 3-х звёздочная гостиница продана за 8 000 000 руб., её годовой ЧОД составлял 1 200 000 руб.</t>
  </si>
  <si>
    <t>ЧОД объекта</t>
  </si>
  <si>
    <t>ЧОД аналога</t>
  </si>
  <si>
    <t>РС аналога</t>
  </si>
  <si>
    <t>Коэффициент капитализации</t>
  </si>
  <si>
    <t>3.2.2.3. Влияние общей площади на стоимость квартиры описывается зависимостью C = 500 – 2*S. Площадь аналога 70 кв.м., объекта оценки – 50 кв.м. Определить величину корректировки на разницу в площади (в процентах, с учетом знака).</t>
  </si>
  <si>
    <t>Площадь ОО</t>
  </si>
  <si>
    <t>Площадь ОА</t>
  </si>
  <si>
    <t>Стоимость ОО</t>
  </si>
  <si>
    <t>Стоимость ОА</t>
  </si>
  <si>
    <t>Корректировка</t>
  </si>
  <si>
    <t>Корректирующий коэффициент</t>
  </si>
  <si>
    <t>3.2.2.4. Объект продан 6 мес. назад. Рост цен 2% в мес. какую нужно сделать корректировку в % (со знаком).</t>
  </si>
  <si>
    <t>Количество периодов</t>
  </si>
  <si>
    <t>Рост в месяц</t>
  </si>
  <si>
    <t>Цена аналога, руб./кв.м.</t>
  </si>
  <si>
    <t>Объект оценки дешевле аналога на 30%</t>
  </si>
  <si>
    <t>ОО</t>
  </si>
  <si>
    <t>ОА</t>
  </si>
  <si>
    <t>Корректирующий коэфф. (ОО/ОА)</t>
  </si>
  <si>
    <t>Скорректированная цена аналога</t>
  </si>
  <si>
    <t>РС здания без дебаркадера</t>
  </si>
  <si>
    <t>Цена дебаркадера</t>
  </si>
  <si>
    <t>РС здания с дебаркадером</t>
  </si>
  <si>
    <t>Предложение</t>
  </si>
  <si>
    <t>Сделка</t>
  </si>
  <si>
    <t>Скидка на торг</t>
  </si>
  <si>
    <t>Аналог 2</t>
  </si>
  <si>
    <t>3.2.2.8. Найти коэффициент уторгования для торгового помещения, расположенного на 1 этаже. Даны следующие данные для расчета:
- офисное помещение на 2 этаже. Продавалось за 1,2 млн. руб., было продано за 980 тыс. руб.;
- торговое помещение на 1 этаже. Продавалось за 2,2 млн. руб., было продано за 1,6 млн. руб.;
- магазин на 1 этаже. Продавался за 600 тыс. руб., был продан за 600 тыс. руб.;
- помещения фитнес центра. Продавался за 2 млн. руб., был продан за 1,9 млн. руб.;
- помещения супермаркета на 1 этаже. Продавался за 2 млн. руб., был продан за 1,7 млн. руб.</t>
  </si>
  <si>
    <t>Аналог 3</t>
  </si>
  <si>
    <t>Аналог 5</t>
  </si>
  <si>
    <t>Строительство офиса</t>
  </si>
  <si>
    <t>Строительство ТЦ</t>
  </si>
  <si>
    <t>Строительство станции с производственного объекта с торговыми площадям</t>
  </si>
  <si>
    <t>Строительство автозаправочной станции с объектами придорожного сервиса</t>
  </si>
  <si>
    <t>Разрешенное использование</t>
  </si>
  <si>
    <t>Цена предлож.</t>
  </si>
  <si>
    <t>Площадь, га</t>
  </si>
  <si>
    <t>Категория</t>
  </si>
  <si>
    <t>НП</t>
  </si>
  <si>
    <t>ПРОМ</t>
  </si>
  <si>
    <t>Объект</t>
  </si>
  <si>
    <t>Цена</t>
  </si>
  <si>
    <t>Скорректированная цена</t>
  </si>
  <si>
    <t>Площадь</t>
  </si>
  <si>
    <t>Цена за 1 га</t>
  </si>
  <si>
    <t>Среднее</t>
  </si>
  <si>
    <t>ОО (класс В)</t>
  </si>
  <si>
    <t>ОА (класс С)</t>
  </si>
  <si>
    <t>Местоположение</t>
  </si>
  <si>
    <t>Отделка</t>
  </si>
  <si>
    <t>Класс С дешевле класса В на 25%</t>
  </si>
  <si>
    <t>КК</t>
  </si>
  <si>
    <t>центр</t>
  </si>
  <si>
    <t>окраина</t>
  </si>
  <si>
    <t>Центр лучше окраины на 14%</t>
  </si>
  <si>
    <t>Евро</t>
  </si>
  <si>
    <t>Простая</t>
  </si>
  <si>
    <t>Евро лучше простой на 16%</t>
  </si>
  <si>
    <t xml:space="preserve">РС 1 кв.м. </t>
  </si>
  <si>
    <t>Удельник</t>
  </si>
  <si>
    <t>Аналог</t>
  </si>
  <si>
    <t>Здание без ремонта</t>
  </si>
  <si>
    <t>Здание с ремонтом</t>
  </si>
  <si>
    <t>Корректировка на ремонт</t>
  </si>
  <si>
    <r>
      <t xml:space="preserve">3.2.2.15. Определить рыночную стоимость двухэтажного офисного здания площадью 1000 кв.м, </t>
    </r>
    <r>
      <rPr>
        <b/>
        <sz val="14"/>
        <color rgb="FFFF0000"/>
        <rFont val="Calibri"/>
        <family val="2"/>
        <charset val="204"/>
        <scheme val="minor"/>
      </rPr>
      <t>требующее</t>
    </r>
    <r>
      <rPr>
        <b/>
        <sz val="14"/>
        <color theme="1"/>
        <rFont val="Calibri"/>
        <family val="2"/>
        <charset val="204"/>
        <scheme val="minor"/>
      </rPr>
      <t xml:space="preserve"> косметического ремонта. Имеется аналог - двухэтажное офисное здание площадью 800 кв. м, в котором </t>
    </r>
    <r>
      <rPr>
        <b/>
        <sz val="14"/>
        <color rgb="FFFF0000"/>
        <rFont val="Calibri"/>
        <family val="2"/>
        <charset val="204"/>
        <scheme val="minor"/>
      </rPr>
      <t>проведен</t>
    </r>
    <r>
      <rPr>
        <b/>
        <sz val="14"/>
        <color theme="1"/>
        <rFont val="Calibri"/>
        <family val="2"/>
        <charset val="204"/>
        <scheme val="minor"/>
      </rPr>
      <t xml:space="preserve"> косметический ремонт. Аналог был продан за 600 000 руб. Для решения данной задачи предположить, что различие в площадях влияния на удельную стоимость не оказывает. Имеются также следующие данные по парным продажам для расчета абсолютной корректировки на состояние:
Одноэтажное кирпичное офисное здание 200 кв.м, Требуется косметический ремонт, цена 120 000руб.
Одноэтажное кирпичное офисное здание 400 кв.м, Проведен косметический ремонт, 260 000руб.</t>
    </r>
  </si>
  <si>
    <t>Стоимость объекта оценки</t>
  </si>
  <si>
    <t>Жилые площади</t>
  </si>
  <si>
    <t>Аналог Б</t>
  </si>
  <si>
    <t>Аналог Г</t>
  </si>
  <si>
    <t>ЗУ, га</t>
  </si>
  <si>
    <t>Жилых площадей на одном га</t>
  </si>
  <si>
    <t>Скорректированная цена за 1 га</t>
  </si>
  <si>
    <t>Таблица №1</t>
  </si>
  <si>
    <t>Параметр</t>
  </si>
  <si>
    <t>ОА1</t>
  </si>
  <si>
    <t>ОА2</t>
  </si>
  <si>
    <t>ОА3</t>
  </si>
  <si>
    <t>Тип</t>
  </si>
  <si>
    <t>Квартира</t>
  </si>
  <si>
    <t>Апартаменты</t>
  </si>
  <si>
    <t>Количество комнат</t>
  </si>
  <si>
    <t>Класс</t>
  </si>
  <si>
    <t>Эконом</t>
  </si>
  <si>
    <t>Комфорт</t>
  </si>
  <si>
    <t>ЮВАО</t>
  </si>
  <si>
    <t>СВАО</t>
  </si>
  <si>
    <t>Стадия строительства</t>
  </si>
  <si>
    <r>
      <t xml:space="preserve">Цена предложения, руб./кв.м. </t>
    </r>
    <r>
      <rPr>
        <sz val="14"/>
        <color rgb="FFFF0000"/>
        <rFont val="Calibri"/>
        <family val="2"/>
        <charset val="204"/>
        <scheme val="minor"/>
      </rPr>
      <t>общей</t>
    </r>
  </si>
  <si>
    <t>Корректировки</t>
  </si>
  <si>
    <t xml:space="preserve"> - на уторгование</t>
  </si>
  <si>
    <t xml:space="preserve"> - на тип недвижимости</t>
  </si>
  <si>
    <t xml:space="preserve"> - на количество комнат</t>
  </si>
  <si>
    <t xml:space="preserve"> - на класс объекта</t>
  </si>
  <si>
    <t xml:space="preserve"> - на местоположение</t>
  </si>
  <si>
    <t xml:space="preserve"> - на стадию</t>
  </si>
  <si>
    <t>Таблица №2 Средние цены на квартиры и апартаменты по округам</t>
  </si>
  <si>
    <t>Округ</t>
  </si>
  <si>
    <t>Квартиры, 
руб./кв.м.</t>
  </si>
  <si>
    <t>Апартаменты, 
руб./кв.м.</t>
  </si>
  <si>
    <t>ВАО</t>
  </si>
  <si>
    <t>Таблица №3 Средние цены на квартиры по классам (при прочих равных условиях)</t>
  </si>
  <si>
    <t>Средняя цена, 
руб./кв.м.</t>
  </si>
  <si>
    <t>Бизнес</t>
  </si>
  <si>
    <t>Таблица №4 Скидка к цене за кв.м. в зависимости от стадии готовности дома</t>
  </si>
  <si>
    <t>Стадия</t>
  </si>
  <si>
    <t>корректировка относительно последующей стадии</t>
  </si>
  <si>
    <t>Начаты земляные работы</t>
  </si>
  <si>
    <t>Начато строительство наземной части</t>
  </si>
  <si>
    <t>Введен в эксплуатацию</t>
  </si>
  <si>
    <t>Таблица №5 Скидка к цене в зависимости от количества комнат (при прочих равных условиях)</t>
  </si>
  <si>
    <t>Скидка относительно 1-комнатной квартиры</t>
  </si>
  <si>
    <t>ТОРГ</t>
  </si>
  <si>
    <t>Корректировка на торг</t>
  </si>
  <si>
    <t>ТИП</t>
  </si>
  <si>
    <t>квартира</t>
  </si>
  <si>
    <t>апартаменты</t>
  </si>
  <si>
    <t>Значение параметра</t>
  </si>
  <si>
    <t>Корректировка на тип</t>
  </si>
  <si>
    <t>Комнаты</t>
  </si>
  <si>
    <t>Отн. Ст.</t>
  </si>
  <si>
    <t>КОЛИЧЕСТВО КОМНАТ</t>
  </si>
  <si>
    <t>Корректировка на количество комнат</t>
  </si>
  <si>
    <t>КЛАСС</t>
  </si>
  <si>
    <t>Корректировка на класс</t>
  </si>
  <si>
    <t>МЕСТО</t>
  </si>
  <si>
    <t>Корректировка на место</t>
  </si>
  <si>
    <t>СТАДИЯ</t>
  </si>
  <si>
    <t>Корректировка на стадию</t>
  </si>
  <si>
    <t>Итоговый корректирующий коэфф.</t>
  </si>
  <si>
    <t>Цена предложения</t>
  </si>
  <si>
    <t>Вес аналога</t>
  </si>
  <si>
    <t>или</t>
  </si>
  <si>
    <t>Средневзвешенная стоимость 1 кв.м.</t>
  </si>
  <si>
    <t>Округлённо</t>
  </si>
  <si>
    <t>3.2.1.1. В 2010 году компания А приобрела и смонтировала зарегистрированный объект недвижимости – наливную эстакаду за 4 000 руб. (с учетом всех косвенных расходов и без учета НДС). Срок службы эстакады – 16 лет. В 2014 году компания А передала объект на баланс дочерней компании Б по остаточной стоимости.
Все данные в условии задачи приведены на середину года. Индекс изменения цен (к базовому ХХ году, на середину года):
2009 - 84; 2010 - 85; 2011 - 87; 2012 - 98; 2013 - 103; 2014 - 116; 2015 - 117; 2016 - 118; 2017 - 119
С использованием приведенных данных определите рыночную стоимость данной эстакады по состоянию на 2017 год (с учетом косвенных расходов и без учета НДС, округленно). Экономическое и функциональное устаревание, прибыль предпринимателя принять равными нулю. Результат округлить до рублей.</t>
  </si>
  <si>
    <t>Цена приобретения</t>
  </si>
  <si>
    <t>Дата оценки</t>
  </si>
  <si>
    <t>Дата приобретения</t>
  </si>
  <si>
    <t>Индекс 2010</t>
  </si>
  <si>
    <t>Индекс 2017</t>
  </si>
  <si>
    <t>Срок службы, лет</t>
  </si>
  <si>
    <t>Индекс удорожания</t>
  </si>
  <si>
    <t>Возраст эстакады на дату оценки</t>
  </si>
  <si>
    <t>3.2.1.2. Физический износ объекта оценки составляет 10%, функциональное устаревание составляет 15%, внешнее устаревание составляет 5%. Сколько составляет накопленный износ, определяемый мультипликативным методом?</t>
  </si>
  <si>
    <t>Физический износ</t>
  </si>
  <si>
    <t>Функциональное устаревание</t>
  </si>
  <si>
    <t>Внешнее устаревание</t>
  </si>
  <si>
    <t>Накопленный износ</t>
  </si>
  <si>
    <t>ЧОД до ухудшения ситуации</t>
  </si>
  <si>
    <t>ЧОД после ухудшения ситуации</t>
  </si>
  <si>
    <t>Доля земельного участка</t>
  </si>
  <si>
    <t>Падение дохода за метр</t>
  </si>
  <si>
    <t>Падение дохода всего в год</t>
  </si>
  <si>
    <t>Внешний износ ЕОН</t>
  </si>
  <si>
    <t>Внешний износ Здания</t>
  </si>
  <si>
    <t>Цена резервуара</t>
  </si>
  <si>
    <t>Объем резервуара</t>
  </si>
  <si>
    <t>Коэффициент торможения</t>
  </si>
  <si>
    <t>Затраты на создание резервуара</t>
  </si>
  <si>
    <t>LN(OA1/OA2)</t>
  </si>
  <si>
    <t>LN(OA2/OA1)</t>
  </si>
  <si>
    <t>Доставка и монтаж</t>
  </si>
  <si>
    <t>Остаточный срок службы</t>
  </si>
  <si>
    <t>Полный срок жизни</t>
  </si>
  <si>
    <t>Износ</t>
  </si>
  <si>
    <t>Суть задачи глобально:</t>
  </si>
  <si>
    <t>ЗУ дом &gt; ЗУ офис</t>
  </si>
  <si>
    <t>РС ЕОН = Девелопмент + ПП + ЗУ</t>
  </si>
  <si>
    <t>Офис</t>
  </si>
  <si>
    <t>Ставка аренды, руб./кв.м./год</t>
  </si>
  <si>
    <t>ОР</t>
  </si>
  <si>
    <t>ОР,  руб./кв.м./год арендопригодной</t>
  </si>
  <si>
    <t>ПП от цены продажи</t>
  </si>
  <si>
    <t>ЗУ офис</t>
  </si>
  <si>
    <t>Жильё</t>
  </si>
  <si>
    <t>Продаваемая площадь</t>
  </si>
  <si>
    <t>Цена продажи, руб./кв.м. продаваемой</t>
  </si>
  <si>
    <t>ПП, от выручки от продажи</t>
  </si>
  <si>
    <t>РС ЕОН - Девелопмент - ПП &gt; ЗУ офис</t>
  </si>
  <si>
    <t>РС ЕОН - ПП - ЗУ офис &gt; Девелопмент</t>
  </si>
  <si>
    <t>&gt; Девелопмент (всего)</t>
  </si>
  <si>
    <t>Объем</t>
  </si>
  <si>
    <t>Объем, куб.м.</t>
  </si>
  <si>
    <t>Масса, кг</t>
  </si>
  <si>
    <t>Стоимость изготовления, руб./кг.</t>
  </si>
  <si>
    <t>Стоимость доставки</t>
  </si>
  <si>
    <t>Монтаж</t>
  </si>
  <si>
    <t>Выемка грунта, руб./куб.м.</t>
  </si>
  <si>
    <t>Оставшийся срок службы, лет</t>
  </si>
  <si>
    <t>Изготовление</t>
  </si>
  <si>
    <t>Доставка</t>
  </si>
  <si>
    <t>Выемка грунта</t>
  </si>
  <si>
    <t>Суммарные затраты</t>
  </si>
  <si>
    <t>РС с округлением</t>
  </si>
  <si>
    <t>3.2.1.8. Определить рыночную стоимость земельного участка, на котором расположено отдельно стоящее здание. Стоимость единого объекта недвижимости составляет 12 500 000 руб. Затраты на воспроизводство для здания без учета износов и устареваний составляют 10 000 000 руб., физический износ оценивается в 1 000 000 руб., функциональное устаревание - 500 000 руб. (других видов износов и устареваний не выявлено). Модель расчета совокупного износа и устареваний - аддитивная. Прибыль предпринимателя принять равной нулю. Рыночную стоимость земельного участка округлить до тысяч рублей. Варианты ответов:</t>
  </si>
  <si>
    <t>Затраты на здание</t>
  </si>
  <si>
    <t>РС здания</t>
  </si>
  <si>
    <t>3.2.1.9. Определить рыночную стоимость объекта недвижимости по состоянию на 2017 год (на середину периода).
Затраты на строительство данного объекта недвижимости в 2010 году составили 1 000 000 руб. Срок жизни 70 лет.
Индексы роста цен (на середину периода):
2009 - 83; 2010 - 85; 2011 - 92; 2012 - 95; 2013 - 101; 2014 - 106; 2015 - 110; 2016 - 115; 2017 - 119.</t>
  </si>
  <si>
    <t>Дата постройки</t>
  </si>
  <si>
    <t>Индекс на 2010</t>
  </si>
  <si>
    <t>Индекс на 2017</t>
  </si>
  <si>
    <t>Срок жизни, лет</t>
  </si>
  <si>
    <t>Возраст</t>
  </si>
  <si>
    <t>Цена постройки</t>
  </si>
  <si>
    <t>Индекс удорожания 2010-2017</t>
  </si>
  <si>
    <t>Затраты на воспроизводство</t>
  </si>
  <si>
    <t>Протяженность, км</t>
  </si>
  <si>
    <t>Стоимость трубы, руб./т.</t>
  </si>
  <si>
    <t>Масса трубы, т./км.</t>
  </si>
  <si>
    <t>Индекс</t>
  </si>
  <si>
    <t>СМР, руб./км.</t>
  </si>
  <si>
    <t>Полный срок службы, лет</t>
  </si>
  <si>
    <t>Масса трубы, т.</t>
  </si>
  <si>
    <t>Стоимость трубы, руб.</t>
  </si>
  <si>
    <t>Стоимость трубы, руб. с учетом индекса</t>
  </si>
  <si>
    <t>СМР, руб.</t>
  </si>
  <si>
    <t>Затраты на воспроизводство, руб.</t>
  </si>
  <si>
    <t>Наименование</t>
  </si>
  <si>
    <t>Материал</t>
  </si>
  <si>
    <t>Административно-бытовой корпус</t>
  </si>
  <si>
    <t>Склад для хранения пиломатериалов</t>
  </si>
  <si>
    <t>Склад готовой продукции для 
деревообрабатывающих предприятий</t>
  </si>
  <si>
    <t>Цех для производства технологических 
брикетов из коры</t>
  </si>
  <si>
    <t>ж/б</t>
  </si>
  <si>
    <t>кирпич</t>
  </si>
  <si>
    <t>сэндвич</t>
  </si>
  <si>
    <t>Отношение объема ОО к ОА</t>
  </si>
  <si>
    <t>0,30 - 0,49</t>
  </si>
  <si>
    <t>0,50 - 0,79</t>
  </si>
  <si>
    <t>0,80 - 1,20</t>
  </si>
  <si>
    <t>1,21 - 2,00</t>
  </si>
  <si>
    <t>свыше 2</t>
  </si>
  <si>
    <t>Поправка</t>
  </si>
  <si>
    <t>Поправка на объем</t>
  </si>
  <si>
    <t>Регионально-экономическая корректировка по материалу стен</t>
  </si>
  <si>
    <t>Регион</t>
  </si>
  <si>
    <t>Кирпич</t>
  </si>
  <si>
    <t>дерево</t>
  </si>
  <si>
    <t>Москва</t>
  </si>
  <si>
    <t>Московская область</t>
  </si>
  <si>
    <t>Саратовская область</t>
  </si>
  <si>
    <t>Томская область</t>
  </si>
  <si>
    <t>Индексы цен в строительстве по РФ по отношению к некому базовому году</t>
  </si>
  <si>
    <t>Конструкции из …</t>
  </si>
  <si>
    <t>… кирпича</t>
  </si>
  <si>
    <t>… ж/б панелей</t>
  </si>
  <si>
    <t>… сэндвич-панелей</t>
  </si>
  <si>
    <t>… древесины</t>
  </si>
  <si>
    <t>Строительный объём, куб.м.</t>
  </si>
  <si>
    <t>Аналог, руб./куб.м.</t>
  </si>
  <si>
    <t>Объём аналога, куб.м.</t>
  </si>
  <si>
    <t>Отношение объёмов ОО/ОА</t>
  </si>
  <si>
    <t>Поправка на объём</t>
  </si>
  <si>
    <t>Региональная корректировка</t>
  </si>
  <si>
    <t>ОО (Саратов) / ОА (Московская область)</t>
  </si>
  <si>
    <t>Индекс на 2014</t>
  </si>
  <si>
    <t>Индекс на 2016</t>
  </si>
  <si>
    <t>Индекс удорожания 2014-2016</t>
  </si>
  <si>
    <t>Эффективный возраст, лет</t>
  </si>
  <si>
    <t>3.2.1.13. Оценивается здание, незавершенное строительством, у которого возведены фундамент, стены и 40% перекрытий. Оценщик нашел информацию по удельным весам конструктивных элементов аналогичного построенного здания: фундамент – 10%; стены – 15%; перекрытия – 20%; крыша – 15%; прочие элементы –40%. Определите удельный вес перекрытий в восстановительной стоимости объекта оценки.</t>
  </si>
  <si>
    <t>Фундамент</t>
  </si>
  <si>
    <t>Удельный вес</t>
  </si>
  <si>
    <t>Готовность</t>
  </si>
  <si>
    <t>Вес в стоимости</t>
  </si>
  <si>
    <t>Вес по факту</t>
  </si>
  <si>
    <t>Стены</t>
  </si>
  <si>
    <t>Перекрытия</t>
  </si>
  <si>
    <t>Крыша</t>
  </si>
  <si>
    <t>Прочие</t>
  </si>
  <si>
    <t>ИТОГО:</t>
  </si>
  <si>
    <t>3.2.1.17. Рыночная стоимость единого объекта недвижимости составляет 10 000 000 руб. Затраты на воспроизводство составляют 8 000 000 руб. Физический износ 20%, функциональное устаревание 10%. Определить рыночную стоимость прав на земельный участок при аддитивной модели определения совокупного износа.</t>
  </si>
  <si>
    <t>Решение 1:</t>
  </si>
  <si>
    <t>Суммарный износ</t>
  </si>
  <si>
    <t>Решение 2:</t>
  </si>
  <si>
    <t>ДВД + компенсация ОР (якоря + рынок)</t>
  </si>
  <si>
    <t>Арендопригодная</t>
  </si>
  <si>
    <t>ДВД = ЧОД (расходы несут арендаторы)</t>
  </si>
  <si>
    <t>РС ЕОН - Девелопмент - ЗУ офис &gt; ПП</t>
  </si>
  <si>
    <t>&gt; ПП</t>
  </si>
  <si>
    <t>&gt; ПП (В процентах от выручки от продажи, т.е. от РС ЕОН)</t>
  </si>
  <si>
    <t>Решается аналогично 3.2.1.6.</t>
  </si>
  <si>
    <t>Затраты</t>
  </si>
  <si>
    <t>LN</t>
  </si>
  <si>
    <t>b</t>
  </si>
  <si>
    <t>Коэффициент доставки и монтажа</t>
  </si>
  <si>
    <t>Затраты с доставкой и монтажом</t>
  </si>
  <si>
    <t>ЗУ = РС ЕОН - Девелопмент - ПП</t>
  </si>
  <si>
    <t>Девелопмент, руб./кв.м. общей</t>
  </si>
  <si>
    <t>Девелопмент</t>
  </si>
  <si>
    <t>Девелопмент от общей, руб./кв.м.</t>
  </si>
  <si>
    <t>3.2.2.9. Рассчитать стоимость арендной ставки по состоянию на начало 2017 года. Известно, что величина арендной ставки по состоянию на начало 2003 года составляла 1000 руб., индекс перехода цен с 2003 по 2005 год составляет 1,54. Индекс перехода цен с 2005 по 2017г. составил 2,56.</t>
  </si>
  <si>
    <t>Индекс 2003-2005</t>
  </si>
  <si>
    <t>Индекс 2005-2017</t>
  </si>
  <si>
    <t>Арендная ставка в 2003 году</t>
  </si>
  <si>
    <t>Арендная ставка в 2017 году</t>
  </si>
  <si>
    <r>
      <t>Ставка аренды, руб./кв.м./</t>
    </r>
    <r>
      <rPr>
        <sz val="14"/>
        <color rgb="FFFF0000"/>
        <rFont val="Calibri"/>
        <family val="2"/>
        <charset val="204"/>
        <scheme val="minor"/>
      </rPr>
      <t>мес.</t>
    </r>
  </si>
  <si>
    <r>
      <t>Возмещение ОР, руб./кв.м./</t>
    </r>
    <r>
      <rPr>
        <sz val="14"/>
        <color rgb="FFFF0000"/>
        <rFont val="Calibri"/>
        <family val="2"/>
        <charset val="204"/>
        <scheme val="minor"/>
      </rPr>
      <t>мес.</t>
    </r>
  </si>
  <si>
    <t>Может быть в год</t>
  </si>
  <si>
    <t>Валовый доход</t>
  </si>
  <si>
    <t>3.2.2.14. Оценщиком обнаружен аналог, который продается в рассрочку на 5 лет под 10%, выплаты в конце года, данный процент ниже рыночного. Рыночная ставка по кредиту 13%. Рассчитать корректировку на способ финансирования, если объект оценки продается при условии моментальной оплаты.</t>
  </si>
  <si>
    <t>Годовые проценты</t>
  </si>
  <si>
    <t>Ежегодный платёж в погашение</t>
  </si>
  <si>
    <t>Приравниваем платежи ОО и ОА</t>
  </si>
  <si>
    <t>Что можно купить при этих платежах?</t>
  </si>
  <si>
    <t>Платёж</t>
  </si>
  <si>
    <t>Какой кредит дадут?</t>
  </si>
  <si>
    <t>3.2.2.16. Рассчитайте валовый рентный мультипликатор для объекта недвижимости, если он был продан за 0.8 млн руб., полностью сдан в аренду и арендный доход составляет 200 тыс. руб., чистый операционный доход -150 тыс. руб., чистая прибыль -100 тыс. руб. Результат округлить до десятых.</t>
  </si>
  <si>
    <t>Чистая прибыль</t>
  </si>
  <si>
    <t>ЮЗАО</t>
  </si>
  <si>
    <r>
      <t xml:space="preserve">3.2.2.17. КВАРТИРА. Определите рыночную стоимость однокомнатной квартиры общей площадью 43 кв. м, жилая площадь 22 кв. м, расположенной в завершенном строительстве доме в ЮВАО. Использовать для расчета все аналоги, приведенные в расчетной таблице. В таблицах ниже приведены данные для определения корректировок. Кроме указанных в таблице 1 не требуются иные корректировки. Использовать данные таблицы ниже для расчета относительных корректировок. При взвешивании аналогам присвоить равные веса. Скидка на переход </t>
    </r>
    <r>
      <rPr>
        <b/>
        <sz val="14"/>
        <color rgb="FFFF0000"/>
        <rFont val="Calibri"/>
        <family val="2"/>
        <charset val="204"/>
        <scheme val="minor"/>
      </rPr>
      <t>от цен сделок к ценам предложений</t>
    </r>
    <r>
      <rPr>
        <b/>
        <sz val="14"/>
        <color theme="1"/>
        <rFont val="Calibri"/>
        <family val="2"/>
        <charset val="204"/>
        <scheme val="minor"/>
      </rPr>
      <t xml:space="preserve"> 7%.</t>
    </r>
  </si>
  <si>
    <t>3.2.2.18. На 01.01.2005 арендная ставка была 200 р. За период с 01.01.2005 по 31.12.2016 арендные ставки выросли на 128%. За период с 01.01.2010 по 31.12.2016 на 37%. Найти арендную ставку на 01.01.2010.</t>
  </si>
  <si>
    <t>Рост цен с 01.01.2005 по 31.12.2016 на</t>
  </si>
  <si>
    <t>Рост цен с 01.01.2010 по 31.12.2016 на</t>
  </si>
  <si>
    <t>Арендная ставка на 01.01.2005</t>
  </si>
  <si>
    <t>Арендная ставка на 01.01.2010</t>
  </si>
  <si>
    <t>Строительство производственного объекта с офисными площадями</t>
  </si>
  <si>
    <t>Строительство гостиницы</t>
  </si>
  <si>
    <t>Аналог 1</t>
  </si>
  <si>
    <t>От безрисковой</t>
  </si>
  <si>
    <t>От ставки дисконтирования</t>
  </si>
  <si>
    <t>Загрузка, %</t>
  </si>
  <si>
    <t>Доходность на собственный капитал</t>
  </si>
  <si>
    <t>Рыночная арендная плата, руб./кв.м.</t>
  </si>
  <si>
    <t>Вакантная площадь</t>
  </si>
  <si>
    <t>3.2.3.17. Рыночная ставка аренды для торгового помещения на начало 2003 года составляла 100 руб. Индекс изменения рыночных ставок аренды для соответствующего сегмента рынка недвижимости с начала 2001 года по начало 2017 года составил 3.54. Индекс изменения рыночных ставок аренды с начала 2001 года по начало 2003 года составил 1.18. Рассчитайте рыночную ставку аренды для этого помещения на начало 2017 года.</t>
  </si>
  <si>
    <t>Ставка аренды в 2003 году</t>
  </si>
  <si>
    <t>Индекс 2001-2017</t>
  </si>
  <si>
    <t>Индекс 2001-2003</t>
  </si>
  <si>
    <t>Ставка аренды в 2017 году</t>
  </si>
  <si>
    <t>Индекс 2003-2017</t>
  </si>
  <si>
    <t>3.2.3.19. (4 балла). Рассчитать рыночную стоимость земельного участка, НЭИ которого заключается в строительстве офисного здания общей площадью 5000 кв.м, арендопригодная площадь 4000 кв.м. Известно, что затраты на строительство составят 400 млн руб. и будут понесены в течение двух лет равными долями, после чего объект будет введен в эксплуатацию. Потенциальный арендный доход для собственника составляет 25000 руб за кв.м арендопригодной площади в год (все расходы по эксплуатации и содержанию здания оплачивают имеющиеся арендаторы независимо от общей загрузки), в первый год эксплуатации загрузка составит 70%, а, начиная со следующего, стабилизируется на 90%. Все ценовые показатели сохраняются неизменными. Ставка терминальной капитализации составляет 10%, затраты на продажу и брокерскую комиссию за сдачу площадей в аренду не учитывать, ставка дисконтирования операционного периода 16%, инвестиционного периода - 20%. Дисконтирование выполнять на конец периодов модели, период прогнозирования - 3 года, результат округлить до миллионов рублей.</t>
  </si>
  <si>
    <t>Будущая стоимость реверсии</t>
  </si>
  <si>
    <t>Количество периодов модели, лет</t>
  </si>
  <si>
    <t>ЧОД (собственный капитал)</t>
  </si>
  <si>
    <t>Остаток кредита на конец 10-го года</t>
  </si>
  <si>
    <t>Кол-во оставш. платежей через 10 лет</t>
  </si>
  <si>
    <t>Будущая стоимость реверсии (СК)</t>
  </si>
  <si>
    <t>Будущая стоимость реверсии за вычетом остатка по кредиту</t>
  </si>
  <si>
    <t>Текущая стоимость реверсии</t>
  </si>
  <si>
    <t>Рыночная стоимость СК</t>
  </si>
  <si>
    <t>РС собственного капитала = приведенная стоимость ЧОД СК + Текущая стоимость реверсии (СК)</t>
  </si>
  <si>
    <t>Приведённая стоимость ЧОД СК за 10 лет</t>
  </si>
  <si>
    <r>
      <t xml:space="preserve">3.2.3.20. (4 балла). Определить рыночную стоимость. ЧОД в течение ближайших десяти лет составит 150 тыс. руб. В конце десятого года объект можно будет продать за 1 200 тыс. руб. Инвестор получает ипотечный кредит в сумме 900 тыс. руб. на 30 лет под 12% с </t>
    </r>
    <r>
      <rPr>
        <b/>
        <sz val="14"/>
        <color rgb="FFFF0000"/>
        <rFont val="Calibri"/>
        <family val="2"/>
        <charset val="204"/>
        <scheme val="minor"/>
      </rPr>
      <t>ежемесячным</t>
    </r>
    <r>
      <rPr>
        <b/>
        <sz val="14"/>
        <color theme="1"/>
        <rFont val="Calibri"/>
        <family val="2"/>
        <charset val="204"/>
        <scheme val="minor"/>
      </rPr>
      <t xml:space="preserve"> погашением. Требуемая инвестором ставка дохода на вложенный собственный капитал – 15%.</t>
    </r>
  </si>
  <si>
    <t>Кредитная ставка за период</t>
  </si>
  <si>
    <t>Платёж по кредиту в месяц</t>
  </si>
  <si>
    <t>Платёж по кредиту в год</t>
  </si>
  <si>
    <t>Делим годовую ставку на 12 месяцев</t>
  </si>
  <si>
    <t>Умножаем количество лет кредита на 12 месяцев</t>
  </si>
  <si>
    <t>Умножаем количество лет до продажи объекта на 12 месяцев</t>
  </si>
  <si>
    <t>Ежемесячный платёж ко кредиту</t>
  </si>
  <si>
    <t>Сумма 12-ти ежемесячный платежей</t>
  </si>
  <si>
    <t>Из годового ЧОДа вычитаем сумму 12-ти ежемесячных платежей в погашение кредита</t>
  </si>
  <si>
    <t>Текущая стоимость аннуитета из десяти платежей по ставке доходности СК</t>
  </si>
  <si>
    <t>Текущая стоимость аннуитета из 240 платежей по ставке 1% (для ежемесячного платежа)</t>
  </si>
  <si>
    <t>Текущая стоимость будущей стоимости реверсии при 10-ти годах и ставке дохода на СК</t>
  </si>
  <si>
    <r>
      <rPr>
        <b/>
        <sz val="14"/>
        <color rgb="FFFF0000"/>
        <rFont val="Calibri"/>
        <family val="2"/>
        <charset val="204"/>
        <scheme val="minor"/>
      </rPr>
      <t>Недо</t>
    </r>
    <r>
      <rPr>
        <sz val="14"/>
        <color theme="1"/>
        <rFont val="Calibri"/>
        <family val="2"/>
        <charset val="204"/>
        <scheme val="minor"/>
      </rPr>
      <t>загрузка</t>
    </r>
  </si>
  <si>
    <t>Относительные стоимости</t>
  </si>
  <si>
    <t>3.2.2.5. Арендная плата в 2003 г. -1000 руб. индекс 2003-2005 – 1,5, индекс 2005 -2017 -3.45. Какова арендная плата на 2017 г.?</t>
  </si>
  <si>
    <t>Арендная плата в 2003 году</t>
  </si>
  <si>
    <t>Арендная плата в 2017 году</t>
  </si>
  <si>
    <t>В данном случае цепочка индексов последовательная, год за годом. Умножаем один на другой</t>
  </si>
  <si>
    <t>3.2.2.19. Оценщиком проведены исследования квартир площадью 30 кв.м. и 45 кв.м., вследствие чего формула нахождения удельной стоимости имеет следующий вид: C = 50 000 - 70*S. Определить рыночную стоимость квартиры площадью 200 кв.м.</t>
  </si>
  <si>
    <t>Недостаточно данных для расчета. Площадь объекта оценки выходит за границы модели: от 30 до 45 кв.м.</t>
  </si>
  <si>
    <t>Если на экзамене будет задача, где необходимо определить стоимость квартиры с площадью,</t>
  </si>
  <si>
    <t>попадающей в данный диапазон, то просто подставляем площадь в формулу, и считаем результат.</t>
  </si>
  <si>
    <t>3.2.1.5. Определить рыночную стоимость затратным подходом. Стоимость земельного участка 28 млн руб. затраты на создание здания с учетом прибыли предпринимателя ПП 90 млн. Совокупный износ здания 20%.</t>
  </si>
  <si>
    <t>Затраты + ПП</t>
  </si>
  <si>
    <t>Износ здания</t>
  </si>
  <si>
    <t>РС здания = Затраты * (1 - износ)</t>
  </si>
  <si>
    <t>3.2.1.11. Определите рыночную стоимость объекта недвижимости, представленного земельным участком и стоящим на нем зданием. Затраты на воспроизводство здания с учетом прибыли предпринимателя, без учета износа и устареваний рассчитаны на уровне 11 000 000 руб., обнаружены признаки физического износа (физ. износ на уровне 10%). Затраты на воспроизводство здания с учетом прибыли предпринимателя, физ. износа и всех видов устареваний уценены на уровне 8 800 000 руб. рыночная стоимость земельного участка составляет 2 000 000 руб.</t>
  </si>
  <si>
    <t>Затраты на воспроизводство без износа</t>
  </si>
  <si>
    <t>Затраты со всеми износами</t>
  </si>
  <si>
    <t>В условии приведено значение только физического износа</t>
  </si>
  <si>
    <t>Однако, не приведены значения "всех видов устареваний", которые уже учтены в 8 800 000р.</t>
  </si>
  <si>
    <t>Используем для расчётов 8 800 000р. поскольку эта величина учитывает все устаревания.</t>
  </si>
  <si>
    <t>3.2.1.15. Объект недвижимости построен в 2010 году, оценивается в 2018 году. Срок службы 25 лет, эффективный возраст 12. Определить остаточный срок службы.</t>
  </si>
  <si>
    <t>Лишние данные. Если есть данные об эффективном возрасте и/или сроке службы - используем их.</t>
  </si>
  <si>
    <t>Количество периодов кредита (мес)</t>
  </si>
  <si>
    <t>Количество периодов модели (мес)</t>
  </si>
  <si>
    <t>Сколько еще платежей по кредиту осталось на конец 10-го года? Осталось 20 лет по 12 платежей в год</t>
  </si>
  <si>
    <t>Потенциальный валовый доход не учитывает загрузку/недозагрузку и неплатежи</t>
  </si>
  <si>
    <t>В задаче много лишний данных. Помним, что РС = ЧОД / R. Соответственно, R = ЧОД / РС</t>
  </si>
  <si>
    <t>Ставка кредитования - лишние данные</t>
  </si>
  <si>
    <t>Необходимо рассчитать ставку дисконтирования в рубля, поэтому используем безрисковую доходность в рублях</t>
  </si>
  <si>
    <r>
      <t xml:space="preserve">3.2.3.11. Известно, что для офисных помещений на дату оценки ВРМ составляет 5. Рассчитать стоимость офисного помещения, которое сдаётся в аренду по 1000 руб./ кв м </t>
    </r>
    <r>
      <rPr>
        <b/>
        <sz val="14"/>
        <color rgb="FFFF0000"/>
        <rFont val="Calibri"/>
        <family val="2"/>
        <charset val="204"/>
        <scheme val="minor"/>
      </rPr>
      <t>в месяц</t>
    </r>
    <r>
      <rPr>
        <b/>
        <sz val="14"/>
        <color theme="1"/>
        <rFont val="Calibri"/>
        <family val="2"/>
        <charset val="204"/>
        <scheme val="minor"/>
      </rPr>
      <t xml:space="preserve">. Дополнительно арендатор возмещает 100 руб. / кв м </t>
    </r>
    <r>
      <rPr>
        <b/>
        <sz val="14"/>
        <color rgb="FFFF0000"/>
        <rFont val="Calibri"/>
        <family val="2"/>
        <charset val="204"/>
        <scheme val="minor"/>
      </rPr>
      <t>в месяц</t>
    </r>
    <r>
      <rPr>
        <b/>
        <sz val="14"/>
        <color theme="1"/>
        <rFont val="Calibri"/>
        <family val="2"/>
        <charset val="204"/>
        <scheme val="minor"/>
      </rPr>
      <t>. операционных расходов. Площадь здания 100 кв. м.</t>
    </r>
  </si>
  <si>
    <t>Не путать валовый рентный мультипликатор со ставкой капитализации</t>
  </si>
  <si>
    <t>Задача с неоднозначным толкованием условия. Дисконтируем так, как указано для каждого конкретного периода.</t>
  </si>
  <si>
    <t>Реверсия (в данном случае - выручка от продажи) дисконтируется на конец последнего прогнозного периода, независимо от самих периодов</t>
  </si>
  <si>
    <r>
      <t xml:space="preserve">3.2.3.16. Определить годовой </t>
    </r>
    <r>
      <rPr>
        <b/>
        <sz val="14"/>
        <color rgb="FFFF0000"/>
        <rFont val="Calibri"/>
        <family val="2"/>
        <charset val="204"/>
        <scheme val="minor"/>
      </rPr>
      <t>действительный</t>
    </r>
    <r>
      <rPr>
        <b/>
        <sz val="14"/>
        <color theme="1"/>
        <rFont val="Calibri"/>
        <family val="2"/>
        <charset val="204"/>
        <scheme val="minor"/>
      </rPr>
      <t xml:space="preserve"> валовой доход для объекта недвижимости. - Общая площадь помещений 450 кв. м. Арендопригодная площадь помещений 410 кв. м. Рыночная арендная плата 7000 руб./кв.м арендопригодной площади </t>
    </r>
    <r>
      <rPr>
        <b/>
        <sz val="14"/>
        <color rgb="FFFF0000"/>
        <rFont val="Calibri"/>
        <family val="2"/>
        <charset val="204"/>
        <scheme val="minor"/>
      </rPr>
      <t>в год</t>
    </r>
    <r>
      <rPr>
        <b/>
        <sz val="14"/>
        <color theme="1"/>
        <rFont val="Calibri"/>
        <family val="2"/>
        <charset val="204"/>
        <scheme val="minor"/>
      </rPr>
      <t>. Вакантная площадь 5%. Результат округлить до тысяч рублей.</t>
    </r>
  </si>
  <si>
    <t>ДВД определяется от арендопригодной площади с учетом загрузки</t>
  </si>
  <si>
    <t>Метод Хоскольда - от безрисковой ставки</t>
  </si>
  <si>
    <t>Ставка капитализации = Ставка дисконтирования + Норма возврата капитала</t>
  </si>
  <si>
    <t>РС = ЧОД / Cтавка капитализации</t>
  </si>
  <si>
    <t>РС ЕОН = РС Улучшений + РС ЗУ</t>
  </si>
  <si>
    <r>
      <t xml:space="preserve">3.2.3.24. Рассчитать рыночную стоимость земельного участка методом деления на участки, если участок предполагается разделить на 2 лота, которые, как прогнозируется, будут проданы через 1 и 2 года по ценам 1 и 2 млн руб. соответственно. Затраты на продажу составят соответственно 200 тыс. руб. </t>
    </r>
    <r>
      <rPr>
        <b/>
        <sz val="14"/>
        <color rgb="FFFF0000"/>
        <rFont val="Calibri"/>
        <family val="2"/>
        <charset val="204"/>
        <scheme val="minor"/>
      </rPr>
      <t>на дату оценки</t>
    </r>
    <r>
      <rPr>
        <b/>
        <sz val="14"/>
        <color theme="1"/>
        <rFont val="Calibri"/>
        <family val="2"/>
        <charset val="204"/>
        <scheme val="minor"/>
      </rPr>
      <t xml:space="preserve"> и 1 млн руб. </t>
    </r>
    <r>
      <rPr>
        <b/>
        <sz val="14"/>
        <color rgb="FFFF0000"/>
        <rFont val="Calibri"/>
        <family val="2"/>
        <charset val="204"/>
        <scheme val="minor"/>
      </rPr>
      <t>на конец первого года</t>
    </r>
    <r>
      <rPr>
        <b/>
        <sz val="14"/>
        <color theme="1"/>
        <rFont val="Calibri"/>
        <family val="2"/>
        <charset val="204"/>
        <scheme val="minor"/>
      </rPr>
      <t>. Требуемая норма доходности аналогичных инвестиций 10%. Результат округлить до тысяч рублей.</t>
    </r>
  </si>
  <si>
    <t>Ставка дисконтирования (СК)</t>
  </si>
  <si>
    <t>Продажа в конце 6-го года за</t>
  </si>
  <si>
    <t>Перемножаем друг на друга факторы для каждого года</t>
  </si>
  <si>
    <t>Аналог лучше: больше по площади и имеет гараж. Корректировки понижающие</t>
  </si>
  <si>
    <t>Встречаются другие модификации задачи, где могут использоваться несколько аналогов.</t>
  </si>
  <si>
    <t>ОО/ОА</t>
  </si>
  <si>
    <t>По приведённой формуле определяем стоимость ОО</t>
  </si>
  <si>
    <t>По приведённой формуле определяем стоимость ОА</t>
  </si>
  <si>
    <t>(ОО/ОА)-1 (сразу будет с учётом знака)</t>
  </si>
  <si>
    <t>(1+i)^n - 1</t>
  </si>
  <si>
    <t>МЕСТОПОЛОЖЕНИЕ</t>
  </si>
  <si>
    <t>Нулевая скидка на торг также участвует в расчетах!!!</t>
  </si>
  <si>
    <t>РС (умножаем на площадь ОО)</t>
  </si>
  <si>
    <r>
      <t xml:space="preserve">Ставка аренды </t>
    </r>
    <r>
      <rPr>
        <sz val="14"/>
        <color rgb="FFFF0000"/>
        <rFont val="Calibri"/>
        <family val="2"/>
        <charset val="204"/>
        <scheme val="minor"/>
      </rPr>
      <t>в год</t>
    </r>
  </si>
  <si>
    <r>
      <t xml:space="preserve">Возмещение ОР </t>
    </r>
    <r>
      <rPr>
        <sz val="14"/>
        <color rgb="FFFF0000"/>
        <rFont val="Calibri"/>
        <family val="2"/>
        <charset val="204"/>
        <scheme val="minor"/>
      </rPr>
      <t>в год</t>
    </r>
  </si>
  <si>
    <t>Это тоже доход, который получает арендодатель (например, доп. оплата арендатором коммуналки)</t>
  </si>
  <si>
    <t>Ставка аренды + возмещение ОР</t>
  </si>
  <si>
    <t>Валовый доход * ВРМ</t>
  </si>
  <si>
    <r>
      <t xml:space="preserve">3.2.2.13. Рассчитать стоимость 1 кв.м бизнес-центра класса В (находится в центре, отделка евростандарт, данные характеристики типичны для данного класса). Аналог класс С, 50 000 руб./кв.м (находится на окраине, простая отделка, данные характеристики типичны для данного класса). Класс С дешевле В на 25%, евроотделка лучше простой на 16%, центр лучше окраины на 14%. </t>
    </r>
    <r>
      <rPr>
        <b/>
        <sz val="14"/>
        <color rgb="FFFF0000"/>
        <rFont val="Calibri"/>
        <family val="2"/>
        <charset val="204"/>
        <scheme val="minor"/>
      </rPr>
      <t>Определение класса включает в себя характеристики отделки и местоположения.</t>
    </r>
  </si>
  <si>
    <t>Итоговая корректировка</t>
  </si>
  <si>
    <t>Если красной фразы в условии нет, то учитываем все различия:</t>
  </si>
  <si>
    <r>
      <t xml:space="preserve">Повышающая корректировка </t>
    </r>
    <r>
      <rPr>
        <i/>
        <sz val="14"/>
        <color rgb="FFFF0000"/>
        <rFont val="Calibri"/>
        <family val="2"/>
        <charset val="204"/>
        <scheme val="minor"/>
      </rPr>
      <t>при нахождении цены ОА</t>
    </r>
    <r>
      <rPr>
        <i/>
        <sz val="14"/>
        <rFont val="Calibri"/>
        <family val="2"/>
        <charset val="204"/>
        <scheme val="minor"/>
      </rPr>
      <t>. При меньших % больше кредит</t>
    </r>
  </si>
  <si>
    <r>
      <t xml:space="preserve">Решение 1 </t>
    </r>
    <r>
      <rPr>
        <i/>
        <sz val="14"/>
        <color theme="1"/>
        <rFont val="Calibri"/>
        <family val="2"/>
        <charset val="204"/>
        <scheme val="minor"/>
      </rPr>
      <t>- принимаем за единицу цену ОО, и определяем цену ОА при таком же платеже</t>
    </r>
  </si>
  <si>
    <t>Можно поставить любую цену. Итог не изменится. Это деньги.</t>
  </si>
  <si>
    <r>
      <t xml:space="preserve">Решение 3 </t>
    </r>
    <r>
      <rPr>
        <i/>
        <sz val="14"/>
        <color theme="1"/>
        <rFont val="Calibri"/>
        <family val="2"/>
        <charset val="204"/>
        <scheme val="minor"/>
      </rPr>
      <t>- имея одинаковые платежи в деньгах, какую недвижимость можем себе позволить в кредит под разные проценты?</t>
    </r>
  </si>
  <si>
    <t>Можно поставить любое значение, одинаковое у ОО и ОА. Это деньги.</t>
  </si>
  <si>
    <t>Аналог с ремонтом. Корректировка понижающая</t>
  </si>
  <si>
    <t>За 1 кв.м.</t>
  </si>
  <si>
    <t>1 кв.м. без ремонта</t>
  </si>
  <si>
    <t>1 кв.м. с ремонтом</t>
  </si>
  <si>
    <t>Удельная цена аналога</t>
  </si>
  <si>
    <t>ВРМ считается от валового дохода. Остальное - лишние данные</t>
  </si>
  <si>
    <t>В условии, вероятно, опечатка, но говорили, что на экзамене было указано именно так. Расчет производится как обычно.</t>
  </si>
  <si>
    <t>Данная конкретная задача решается с использованием единственного аналога</t>
  </si>
  <si>
    <t>В условии много лишних индексов. Внимательно выбираем нужные.</t>
  </si>
  <si>
    <t>Не забываем "единица минус". Иначе получим рыночную стоимость</t>
  </si>
  <si>
    <t>Капитализируем годовые потери</t>
  </si>
  <si>
    <t>Доля здания в стоимости ЕОН</t>
  </si>
  <si>
    <t>Внимательней на экзамене к этой величине. Возможны вариации в условии.</t>
  </si>
  <si>
    <r>
      <t>Цена аналога * (</t>
    </r>
    <r>
      <rPr>
        <i/>
        <sz val="14"/>
        <color rgb="FFFF0000"/>
        <rFont val="Calibri"/>
        <family val="2"/>
        <charset val="204"/>
        <scheme val="minor"/>
      </rPr>
      <t>ОО/ОА</t>
    </r>
    <r>
      <rPr>
        <i/>
        <sz val="14"/>
        <color theme="1"/>
        <rFont val="Calibri"/>
        <family val="2"/>
        <charset val="204"/>
        <scheme val="minor"/>
      </rPr>
      <t>)^b</t>
    </r>
  </si>
  <si>
    <t>Всё ускоренное и срочное - не рыночные условия.</t>
  </si>
  <si>
    <t>5% от изготовления</t>
  </si>
  <si>
    <t>170% от изготовления</t>
  </si>
  <si>
    <t>Износ = Возраст / Срок службы</t>
  </si>
  <si>
    <t>В качестве аналоги выбираем склад из ж/б, поскольку всё в таблице относится к деревообработке - справочник-то отраслевой</t>
  </si>
  <si>
    <t>Из таблицы выше</t>
  </si>
  <si>
    <t>Индексы для ж/б панелей</t>
  </si>
  <si>
    <t>Сколько процентов составляет 8 от 33</t>
  </si>
  <si>
    <t>ОА1 - для расчета стоимости</t>
  </si>
  <si>
    <t>ОА2 и ОА3 - для расчета коэффициента удорожания</t>
  </si>
  <si>
    <t>Ускоренное и срочное - не рыночные данные</t>
  </si>
  <si>
    <t>Складываем износы, и затем рассчитываем РС</t>
  </si>
  <si>
    <t>Определяем износ в деньгах</t>
  </si>
  <si>
    <t>Лишние данные</t>
  </si>
  <si>
    <r>
      <t xml:space="preserve">3.2.1.3. Вследствие ухудшения экологической ситуации в районе расположения оцениваемого объекта, чистый операционный доход от объекта снизился с 500 до 400 руб. с 1 кв. м арендопригодной площади </t>
    </r>
    <r>
      <rPr>
        <b/>
        <sz val="14"/>
        <color rgb="FFFF0000"/>
        <rFont val="Calibri"/>
        <family val="2"/>
        <charset val="204"/>
        <scheme val="minor"/>
      </rPr>
      <t>в год</t>
    </r>
    <r>
      <rPr>
        <b/>
        <sz val="14"/>
        <color theme="1"/>
        <rFont val="Calibri"/>
        <family val="2"/>
        <charset val="204"/>
        <scheme val="minor"/>
      </rPr>
      <t>. Арендопригодная площадь объекта составляет 1 000 кв. м. Среднерыночная ставка капитализации для подобных объектов составляет 10% и не зависит от фактов ухудшения экологической ситуации. Доля земельного участка в стоимости объекта составляет 30%. Предполагается, что негативное внешнее воздействие сохранится в течение неопределенно долгого периода времени. В результате действия негативных факторов происходит снижение стоимости земельного участка и появляется внешнее устаревание улучшений. Определить величину внешнего устаревания, относящуюся к зданию. Результат округлить до тысяч рублей.</t>
    </r>
  </si>
  <si>
    <r>
      <t xml:space="preserve">ЗУ = РС ЕОН - </t>
    </r>
    <r>
      <rPr>
        <sz val="14"/>
        <color rgb="FFFF0000"/>
        <rFont val="Calibri"/>
        <family val="2"/>
        <charset val="204"/>
        <scheme val="minor"/>
      </rPr>
      <t>Девелопмент</t>
    </r>
    <r>
      <rPr>
        <sz val="14"/>
        <color theme="1"/>
        <rFont val="Calibri"/>
        <family val="2"/>
        <charset val="204"/>
        <scheme val="minor"/>
      </rPr>
      <t xml:space="preserve"> - ПП</t>
    </r>
  </si>
  <si>
    <r>
      <t xml:space="preserve">Решение 2 </t>
    </r>
    <r>
      <rPr>
        <i/>
        <sz val="14"/>
        <color theme="1"/>
        <rFont val="Calibri"/>
        <family val="2"/>
        <charset val="204"/>
        <scheme val="minor"/>
      </rPr>
      <t>- принимаем за единицу цену ОА, и определяем цену ОО при таком же платеже</t>
    </r>
  </si>
  <si>
    <t>3.2.1.18. Определить стоимость объекта недвижимости, представленного земельным участком и зданием. Затраты на замещение для здания без учёта прибыли предпринимателя 10 млн рублей, износ здания отсутствует. Рыночная стоимость участка 2 млн рублей, прибыль предпринимателя 30%.</t>
  </si>
  <si>
    <t>ОКС (улучшения)</t>
  </si>
  <si>
    <t>ЕОН</t>
  </si>
  <si>
    <t>Хронологический возраст</t>
  </si>
  <si>
    <t>Решение 1</t>
  </si>
  <si>
    <t>Решение 2</t>
  </si>
  <si>
    <t>Отношение стоимости ЗУ к продаваемым (жилым) площадям</t>
  </si>
  <si>
    <t>Стоимость в 2017 году</t>
  </si>
  <si>
    <t>Индекс с 2005 по 2017</t>
  </si>
  <si>
    <t>Индекс с 2005 по 2010</t>
  </si>
  <si>
    <t>3.2.2.22. В 2017 году квартира стоит 2,5 млн руб. Индекс с 2005 по 2017 - 3,4. Индекс с 2005 по 2010 - 1,7. Сколько стоит квартира в 2010 г.?</t>
  </si>
  <si>
    <t>Арендный доход</t>
  </si>
  <si>
    <t>Множитель для одного периода</t>
  </si>
  <si>
    <t>Дисконтный множитель</t>
  </si>
  <si>
    <t>СК</t>
  </si>
  <si>
    <r>
      <t xml:space="preserve">3.2.3.27. Определить рыночную стоимость объекта недвижимости, если действительный валовый доход составляет 2 200 000 рублей в год, величина операционных расходов и расходов на замещение составляет 2 500 руб./кв.м общей площади </t>
    </r>
    <r>
      <rPr>
        <b/>
        <sz val="14"/>
        <color rgb="FFFF0000"/>
        <rFont val="Calibri"/>
        <family val="2"/>
        <charset val="204"/>
        <scheme val="minor"/>
      </rPr>
      <t>в год</t>
    </r>
    <r>
      <rPr>
        <b/>
        <sz val="14"/>
        <color theme="1"/>
        <rFont val="Calibri"/>
        <family val="2"/>
        <charset val="204"/>
        <scheme val="minor"/>
      </rPr>
      <t>, общая площадь - 200 кв.м, коэффициент капитализации - 10%.</t>
    </r>
  </si>
  <si>
    <t>3.2.3.28. Определить годовой действительный валовой доход для объекта недвижимости. Потенциальный валовой доход 12000 в год, загрузка 60%, расходы собственника 1100.</t>
  </si>
  <si>
    <t>ПВД в год</t>
  </si>
  <si>
    <t>Расходы собственника</t>
  </si>
  <si>
    <r>
      <rPr>
        <b/>
        <sz val="14"/>
        <color theme="1"/>
        <rFont val="Calibri"/>
        <family val="2"/>
        <charset val="204"/>
        <scheme val="minor"/>
      </rPr>
      <t xml:space="preserve">3.2.3.29. </t>
    </r>
    <r>
      <rPr>
        <sz val="14"/>
        <color theme="1"/>
        <rFont val="Calibri"/>
        <family val="2"/>
        <charset val="204"/>
        <scheme val="minor"/>
      </rPr>
      <t xml:space="preserve">Определить  рыночную  стоимость  офисного  здания  (единого  объекта  недвижимости), если известно, что его общая площадь составляет 5000 кв.м, </t>
    </r>
    <r>
      <rPr>
        <b/>
        <sz val="14"/>
        <color rgb="FFFF0000"/>
        <rFont val="Calibri"/>
        <family val="2"/>
        <charset val="204"/>
        <scheme val="minor"/>
      </rPr>
      <t>арендопригодная</t>
    </r>
    <r>
      <rPr>
        <sz val="14"/>
        <color theme="1"/>
        <rFont val="Calibri"/>
        <family val="2"/>
        <charset val="204"/>
        <scheme val="minor"/>
      </rPr>
      <t xml:space="preserve"> площадь - 4000 кв.м, здание </t>
    </r>
    <r>
      <rPr>
        <b/>
        <sz val="14"/>
        <color rgb="FFFF0000"/>
        <rFont val="Calibri"/>
        <family val="2"/>
        <charset val="204"/>
        <scheme val="minor"/>
      </rPr>
      <t>полностью сдано в аренду</t>
    </r>
    <r>
      <rPr>
        <sz val="14"/>
        <color theme="1"/>
        <rFont val="Calibri"/>
        <family val="2"/>
        <charset val="204"/>
        <scheme val="minor"/>
      </rPr>
      <t xml:space="preserve"> без возможности расторжения договора </t>
    </r>
    <r>
      <rPr>
        <b/>
        <sz val="14"/>
        <color rgb="FFFF0000"/>
        <rFont val="Calibri"/>
        <family val="2"/>
        <charset val="204"/>
        <scheme val="minor"/>
      </rPr>
      <t>по фиксированной  ставке</t>
    </r>
    <r>
      <rPr>
        <sz val="14"/>
        <color theme="1"/>
        <rFont val="Calibri"/>
        <family val="2"/>
        <charset val="204"/>
        <scheme val="minor"/>
      </rPr>
      <t xml:space="preserve">  15000  руб  за  кв.м  арендопригодной  площади  в  год,  текущая </t>
    </r>
    <r>
      <rPr>
        <b/>
        <sz val="14"/>
        <color theme="4"/>
        <rFont val="Calibri"/>
        <family val="2"/>
        <charset val="204"/>
        <scheme val="minor"/>
      </rPr>
      <t>рыночная  ставка</t>
    </r>
    <r>
      <rPr>
        <sz val="14"/>
        <color theme="1"/>
        <rFont val="Calibri"/>
        <family val="2"/>
        <charset val="204"/>
        <scheme val="minor"/>
      </rPr>
      <t xml:space="preserve">  аренды  25  000  руб.  за  кв.м  арендопригодной  площади  в  год, </t>
    </r>
    <r>
      <rPr>
        <b/>
        <sz val="14"/>
        <color rgb="FF7030A0"/>
        <rFont val="Calibri"/>
        <family val="2"/>
        <charset val="204"/>
        <scheme val="minor"/>
      </rPr>
      <t>дополнительно к арендной плате</t>
    </r>
    <r>
      <rPr>
        <sz val="14"/>
        <color theme="1"/>
        <rFont val="Calibri"/>
        <family val="2"/>
        <charset val="204"/>
        <scheme val="minor"/>
      </rPr>
      <t xml:space="preserve"> арендатор оплачивает </t>
    </r>
    <r>
      <rPr>
        <b/>
        <sz val="14"/>
        <color rgb="FF7030A0"/>
        <rFont val="Calibri"/>
        <family val="2"/>
        <charset val="204"/>
        <scheme val="minor"/>
      </rPr>
      <t>операционные расходы</t>
    </r>
    <r>
      <rPr>
        <sz val="14"/>
        <color theme="1"/>
        <rFont val="Calibri"/>
        <family val="2"/>
        <charset val="204"/>
        <scheme val="minor"/>
      </rPr>
      <t xml:space="preserve"> в размере 5000  руб.  за  кв.м  </t>
    </r>
    <r>
      <rPr>
        <b/>
        <i/>
        <u/>
        <sz val="14"/>
        <color rgb="FF7030A0"/>
        <rFont val="Calibri"/>
        <family val="2"/>
        <charset val="204"/>
        <scheme val="minor"/>
      </rPr>
      <t>арендопригодной</t>
    </r>
    <r>
      <rPr>
        <sz val="14"/>
        <color theme="1"/>
        <rFont val="Calibri"/>
        <family val="2"/>
        <charset val="204"/>
        <scheme val="minor"/>
      </rPr>
      <t xml:space="preserve">  площади  в  год,  что  соответствует  рыночным условиям.  </t>
    </r>
    <r>
      <rPr>
        <b/>
        <sz val="14"/>
        <color rgb="FFFF0000"/>
        <rFont val="Calibri"/>
        <family val="2"/>
        <charset val="204"/>
        <scheme val="minor"/>
      </rPr>
      <t>Оставшийся  срок  аренды  -  2  года</t>
    </r>
    <r>
      <rPr>
        <sz val="14"/>
        <color theme="1"/>
        <rFont val="Calibri"/>
        <family val="2"/>
        <charset val="204"/>
        <scheme val="minor"/>
      </rPr>
      <t xml:space="preserve">,  после  завершения  которого,  начиная  </t>
    </r>
    <r>
      <rPr>
        <b/>
        <sz val="14"/>
        <color theme="4"/>
        <rFont val="Calibri"/>
        <family val="2"/>
        <charset val="204"/>
        <scheme val="minor"/>
      </rPr>
      <t>с третьего  года</t>
    </r>
    <r>
      <rPr>
        <sz val="14"/>
        <color theme="1"/>
        <rFont val="Calibri"/>
        <family val="2"/>
        <charset val="204"/>
        <scheme val="minor"/>
      </rPr>
      <t xml:space="preserve">,  здание  будет  сдаваться  в  аренду  </t>
    </r>
    <r>
      <rPr>
        <b/>
        <sz val="14"/>
        <color theme="4"/>
        <rFont val="Calibri"/>
        <family val="2"/>
        <charset val="204"/>
        <scheme val="minor"/>
      </rPr>
      <t>на  рыночных  условиях</t>
    </r>
    <r>
      <rPr>
        <sz val="14"/>
        <color theme="1"/>
        <rFont val="Calibri"/>
        <family val="2"/>
        <charset val="204"/>
        <scheme val="minor"/>
      </rPr>
      <t xml:space="preserve">,  в  первый  год после  завершения  договора  аренды  ожидается  </t>
    </r>
    <r>
      <rPr>
        <b/>
        <sz val="14"/>
        <color theme="1"/>
        <rFont val="Calibri"/>
        <family val="2"/>
        <charset val="204"/>
        <scheme val="minor"/>
      </rPr>
      <t>НЕДО</t>
    </r>
    <r>
      <rPr>
        <sz val="14"/>
        <color theme="1"/>
        <rFont val="Calibri"/>
        <family val="2"/>
        <charset val="204"/>
        <scheme val="minor"/>
      </rPr>
      <t xml:space="preserve">загрузка  30%,  со  второго  года показатель  стабилизируется  на  10%.  </t>
    </r>
    <r>
      <rPr>
        <b/>
        <sz val="14"/>
        <color rgb="FF7030A0"/>
        <rFont val="Calibri"/>
        <family val="2"/>
        <charset val="204"/>
        <scheme val="minor"/>
      </rPr>
      <t>Фактические  операционные  расходы</t>
    </r>
    <r>
      <rPr>
        <sz val="14"/>
        <color theme="1"/>
        <rFont val="Calibri"/>
        <family val="2"/>
        <charset val="204"/>
        <scheme val="minor"/>
      </rPr>
      <t xml:space="preserve">  по  зданию составляют  7000  руб.  </t>
    </r>
    <r>
      <rPr>
        <b/>
        <sz val="14"/>
        <color rgb="FF7030A0"/>
        <rFont val="Calibri"/>
        <family val="2"/>
        <charset val="204"/>
        <scheme val="minor"/>
      </rPr>
      <t>за  кв.м  общей  площади</t>
    </r>
    <r>
      <rPr>
        <sz val="14"/>
        <color theme="1"/>
        <rFont val="Calibri"/>
        <family val="2"/>
        <charset val="204"/>
        <scheme val="minor"/>
      </rPr>
      <t xml:space="preserve">  в  год,  других  расходов  по  зданию  нет, ставка терминальной капитализации - 10%, затраты на продажу и брокерскую комиссию за  сдачу  площадей  в  аренду  не  учитывать,  требуемая  рыночная  норма  доходности  для подобных  инвестиций  -  16%,  предполагается,  что  все  расходы  и  доходы  остаются постоянными. Дисконтирование выполнять на конец периодов модели, период прогноза - 3 года, результат округлить до миллионов рублей.</t>
    </r>
  </si>
  <si>
    <r>
      <t xml:space="preserve">Компенсация ОР, руб. </t>
    </r>
    <r>
      <rPr>
        <b/>
        <sz val="14"/>
        <color theme="1"/>
        <rFont val="Calibri"/>
        <family val="2"/>
        <charset val="204"/>
        <scheme val="minor"/>
      </rPr>
      <t>от арендоприг.</t>
    </r>
  </si>
  <si>
    <t>3.2.3.31. Определить рыночную стоимость объекта недвижимости, если действительный валовый доход составляет 700 000 рублей в месяц, величина операционных расходов и расходов на замещение составляет 2 500 руб./кв.м общей площади в год, общая площадь - 1200 кв.м, коэффициент капитализации - 10%.</t>
  </si>
  <si>
    <r>
      <rPr>
        <b/>
        <sz val="14"/>
        <color theme="1"/>
        <rFont val="Calibri"/>
        <family val="2"/>
        <charset val="204"/>
        <scheme val="minor"/>
      </rPr>
      <t xml:space="preserve">3.2.3.32. </t>
    </r>
    <r>
      <rPr>
        <sz val="14"/>
        <color theme="1"/>
        <rFont val="Calibri"/>
        <family val="2"/>
        <charset val="204"/>
        <scheme val="minor"/>
      </rPr>
      <t xml:space="preserve">Определить  рыночную  стоимость  офисного  здания  (единого  объекта  недвижимости), если известно, что его общая площадь составляет 5000 кв.м, </t>
    </r>
    <r>
      <rPr>
        <b/>
        <sz val="14"/>
        <color rgb="FFFF0000"/>
        <rFont val="Calibri"/>
        <family val="2"/>
        <charset val="204"/>
        <scheme val="minor"/>
      </rPr>
      <t>арендопригодная</t>
    </r>
    <r>
      <rPr>
        <sz val="14"/>
        <color theme="1"/>
        <rFont val="Calibri"/>
        <family val="2"/>
        <charset val="204"/>
        <scheme val="minor"/>
      </rPr>
      <t xml:space="preserve"> площадь - 4000 кв.м, здание </t>
    </r>
    <r>
      <rPr>
        <b/>
        <sz val="14"/>
        <color rgb="FFFF0000"/>
        <rFont val="Calibri"/>
        <family val="2"/>
        <charset val="204"/>
        <scheme val="minor"/>
      </rPr>
      <t>полностью сдано в аренду</t>
    </r>
    <r>
      <rPr>
        <sz val="14"/>
        <color theme="1"/>
        <rFont val="Calibri"/>
        <family val="2"/>
        <charset val="204"/>
        <scheme val="minor"/>
      </rPr>
      <t xml:space="preserve"> без возможности расторжения договора </t>
    </r>
    <r>
      <rPr>
        <b/>
        <sz val="14"/>
        <color rgb="FFFF0000"/>
        <rFont val="Calibri"/>
        <family val="2"/>
        <charset val="204"/>
        <scheme val="minor"/>
      </rPr>
      <t>по фиксированной  ставке</t>
    </r>
    <r>
      <rPr>
        <sz val="14"/>
        <color theme="1"/>
        <rFont val="Calibri"/>
        <family val="2"/>
        <charset val="204"/>
        <scheme val="minor"/>
      </rPr>
      <t xml:space="preserve">  15000  руб  за  кв.м  арендопригодной  площади  в  год,  текущая </t>
    </r>
    <r>
      <rPr>
        <b/>
        <sz val="14"/>
        <color theme="4"/>
        <rFont val="Calibri"/>
        <family val="2"/>
        <charset val="204"/>
        <scheme val="minor"/>
      </rPr>
      <t>рыночная  ставка</t>
    </r>
    <r>
      <rPr>
        <sz val="14"/>
        <color theme="1"/>
        <rFont val="Calibri"/>
        <family val="2"/>
        <charset val="204"/>
        <scheme val="minor"/>
      </rPr>
      <t xml:space="preserve">  аренды  25  000  руб.  за  кв.м  арендопригодной  площади  в  год, </t>
    </r>
    <r>
      <rPr>
        <b/>
        <sz val="14"/>
        <color rgb="FF7030A0"/>
        <rFont val="Calibri"/>
        <family val="2"/>
        <charset val="204"/>
        <scheme val="minor"/>
      </rPr>
      <t>дополнительно к арендной плате</t>
    </r>
    <r>
      <rPr>
        <sz val="14"/>
        <color theme="1"/>
        <rFont val="Calibri"/>
        <family val="2"/>
        <charset val="204"/>
        <scheme val="minor"/>
      </rPr>
      <t xml:space="preserve"> арендатор оплачивает </t>
    </r>
    <r>
      <rPr>
        <b/>
        <sz val="14"/>
        <color rgb="FF7030A0"/>
        <rFont val="Calibri"/>
        <family val="2"/>
        <charset val="204"/>
        <scheme val="minor"/>
      </rPr>
      <t>операционные расходы</t>
    </r>
    <r>
      <rPr>
        <sz val="14"/>
        <color theme="1"/>
        <rFont val="Calibri"/>
        <family val="2"/>
        <charset val="204"/>
        <scheme val="minor"/>
      </rPr>
      <t xml:space="preserve"> в размере 5000  руб.  за  кв.м  </t>
    </r>
    <r>
      <rPr>
        <b/>
        <i/>
        <u/>
        <sz val="14"/>
        <color rgb="FF7030A0"/>
        <rFont val="Calibri"/>
        <family val="2"/>
        <charset val="204"/>
        <scheme val="minor"/>
      </rPr>
      <t>арендуемой</t>
    </r>
    <r>
      <rPr>
        <sz val="14"/>
        <color theme="1"/>
        <rFont val="Calibri"/>
        <family val="2"/>
        <charset val="204"/>
        <scheme val="minor"/>
      </rPr>
      <t xml:space="preserve">  площади  в  год,  что  соответствует  рыночным условиям.  </t>
    </r>
    <r>
      <rPr>
        <b/>
        <sz val="14"/>
        <color rgb="FFFF0000"/>
        <rFont val="Calibri"/>
        <family val="2"/>
        <charset val="204"/>
        <scheme val="minor"/>
      </rPr>
      <t>Оставшийся  срок  аренды  -  2  года</t>
    </r>
    <r>
      <rPr>
        <sz val="14"/>
        <color theme="1"/>
        <rFont val="Calibri"/>
        <family val="2"/>
        <charset val="204"/>
        <scheme val="minor"/>
      </rPr>
      <t xml:space="preserve">,  после  завершения  которого,  начиная  </t>
    </r>
    <r>
      <rPr>
        <b/>
        <sz val="14"/>
        <color theme="4"/>
        <rFont val="Calibri"/>
        <family val="2"/>
        <charset val="204"/>
        <scheme val="minor"/>
      </rPr>
      <t>с третьего  года</t>
    </r>
    <r>
      <rPr>
        <sz val="14"/>
        <color theme="1"/>
        <rFont val="Calibri"/>
        <family val="2"/>
        <charset val="204"/>
        <scheme val="minor"/>
      </rPr>
      <t xml:space="preserve">,  здание  будет  сдаваться  в  аренду  </t>
    </r>
    <r>
      <rPr>
        <b/>
        <sz val="14"/>
        <color theme="4"/>
        <rFont val="Calibri"/>
        <family val="2"/>
        <charset val="204"/>
        <scheme val="minor"/>
      </rPr>
      <t>на  рыночных  условиях</t>
    </r>
    <r>
      <rPr>
        <sz val="14"/>
        <color theme="1"/>
        <rFont val="Calibri"/>
        <family val="2"/>
        <charset val="204"/>
        <scheme val="minor"/>
      </rPr>
      <t xml:space="preserve">,  в  первый  год после  завершения  договора  аренды  ожидается  </t>
    </r>
    <r>
      <rPr>
        <b/>
        <sz val="14"/>
        <color theme="1"/>
        <rFont val="Calibri"/>
        <family val="2"/>
        <charset val="204"/>
        <scheme val="minor"/>
      </rPr>
      <t>НЕДО</t>
    </r>
    <r>
      <rPr>
        <sz val="14"/>
        <color theme="1"/>
        <rFont val="Calibri"/>
        <family val="2"/>
        <charset val="204"/>
        <scheme val="minor"/>
      </rPr>
      <t xml:space="preserve">загрузка  30%,  со  второго  года показатель  стабилизируется  на  10%.  </t>
    </r>
    <r>
      <rPr>
        <b/>
        <sz val="14"/>
        <color rgb="FF7030A0"/>
        <rFont val="Calibri"/>
        <family val="2"/>
        <charset val="204"/>
        <scheme val="minor"/>
      </rPr>
      <t>Фактические  операционные  расходы</t>
    </r>
    <r>
      <rPr>
        <sz val="14"/>
        <color theme="1"/>
        <rFont val="Calibri"/>
        <family val="2"/>
        <charset val="204"/>
        <scheme val="minor"/>
      </rPr>
      <t xml:space="preserve">  по  зданию составляют  7000  руб.  </t>
    </r>
    <r>
      <rPr>
        <b/>
        <sz val="14"/>
        <color rgb="FF7030A0"/>
        <rFont val="Calibri"/>
        <family val="2"/>
        <charset val="204"/>
        <scheme val="minor"/>
      </rPr>
      <t>за  кв.м  общей  площади</t>
    </r>
    <r>
      <rPr>
        <sz val="14"/>
        <color theme="1"/>
        <rFont val="Calibri"/>
        <family val="2"/>
        <charset val="204"/>
        <scheme val="minor"/>
      </rPr>
      <t xml:space="preserve">  в  год,  других  расходов  по  зданию  нет, ставка терминальной капитализации - 10%, затраты на продажу и брокерскую комиссию за  сдачу  площадей  в  аренду  не  учитывать,  требуемая  рыночная  норма  доходности  для подобных  инвестиций  -  16%,  предполагается,  что  все  расходы  и  доходы  остаются постоянными. Дисконтирование выполнять на конец периодов модели, период прогноза - 3 года, результат округлить до миллионов рублей.</t>
    </r>
  </si>
  <si>
    <r>
      <t xml:space="preserve">Компенсация ОР, руб. </t>
    </r>
    <r>
      <rPr>
        <b/>
        <sz val="14"/>
        <color theme="1"/>
        <rFont val="Calibri"/>
        <family val="2"/>
        <charset val="204"/>
        <scheme val="minor"/>
      </rPr>
      <t>от арендуемой</t>
    </r>
  </si>
  <si>
    <t>СД</t>
  </si>
  <si>
    <t>Ctrl + 1</t>
  </si>
  <si>
    <t>Формат ячейки</t>
  </si>
  <si>
    <t>Ctrl + Пробел</t>
  </si>
  <si>
    <t>Выделяет весь текущий столбец, в котором расположена активня ячейка</t>
  </si>
  <si>
    <t>Shift + Пробел</t>
  </si>
  <si>
    <t>Выделяет всю текущую строку, в которой расположена активная ячейка</t>
  </si>
  <si>
    <t>Ctrl + Num+</t>
  </si>
  <si>
    <t>Добавляет ячейки. Если выделена строка/столбец, то добавляет строку/столбец</t>
  </si>
  <si>
    <t>Ctrl + Num-</t>
  </si>
  <si>
    <t>Удаляет ячейки. Если выделена строка/столбец, то удаляет строку/столбец</t>
  </si>
  <si>
    <t>Ctrl + z</t>
  </si>
  <si>
    <t>Отменяет последнее действие</t>
  </si>
  <si>
    <t>Ctrl + Стрелка</t>
  </si>
  <si>
    <t>Перемещает курсор до последней заполненной ячейки в данной строке/столбце</t>
  </si>
  <si>
    <t>Ctrl + Shift + Стрелка</t>
  </si>
  <si>
    <t>Выделяет область от текущей ячейки до последней заполненной</t>
  </si>
  <si>
    <t>Ctrl + с  или Ctrl + Ins</t>
  </si>
  <si>
    <t xml:space="preserve">Копирует данные. </t>
  </si>
  <si>
    <t>Ctrl + v  или Enter</t>
  </si>
  <si>
    <t>Если скопированы ячейки целиком, то для вставки необходимо лишь установить курсор в нужное место и нажать Enter</t>
  </si>
  <si>
    <t>Ctrl + Колёсико мыши</t>
  </si>
  <si>
    <t>Масштаб</t>
  </si>
  <si>
    <t>Ctrl + Shift + 1</t>
  </si>
  <si>
    <t>Ctrl + Shift + 5</t>
  </si>
  <si>
    <t>Процентный формат (Символ % на клавиатуре)</t>
  </si>
  <si>
    <t>Для закрепления ячейки в формуле после указания её адреса можно нажать F4</t>
  </si>
  <si>
    <t>Если выделить несколько столбцов или строк, а потом изменить размер одной строки или столбца, то изменится размер у всего выделения</t>
  </si>
  <si>
    <t>Для быстрого изменения формата нескольких ячеек достаточно скопировать туда ячейку с нужным форматом и удалить данные</t>
  </si>
  <si>
    <t>Функция =РАЗНДАТ(Дата1;Дата2;"m") выводит количество полных месяцев между двумя конкретными датами</t>
  </si>
  <si>
    <t>Если вместо "m" указать "y" - то результатом будет количество полных лет, а если "d" - количество дней</t>
  </si>
  <si>
    <t>Данная функция может быть недокументированной в русскоязычной версии Excel, но работать</t>
  </si>
  <si>
    <t>Дата 1</t>
  </si>
  <si>
    <t>Дата  2</t>
  </si>
  <si>
    <t>Месяцев</t>
  </si>
  <si>
    <t>Лет</t>
  </si>
  <si>
    <t>Дней</t>
  </si>
  <si>
    <r>
      <t xml:space="preserve">3.2.1.4. Затраты на создание конструкции зарегистрированного объекта недвижимости - металлического резервуара объемом 100 м3 составляет 100 000 руб., объемом 175 м3 - 140 000 руб. Коэффициент, учитывающий стоимость доставки и монтажа резервуара, составляет 1.7. Затраты на ускоренную доставку металлоконструкций - 15 000 руб. Надбавка за срочное оформление документации - 10% от стоимости металлоконструкций. Необходимо рассчитать рыночную стоимость смонтированного резервуара объемом 150 куб. м с использованием коэффициента торможения. Данные для расчета износа: </t>
    </r>
    <r>
      <rPr>
        <b/>
        <sz val="14"/>
        <color rgb="FFFF0000"/>
        <rFont val="Calibri"/>
        <family val="2"/>
        <charset val="204"/>
        <scheme val="minor"/>
      </rPr>
      <t>хронологический</t>
    </r>
    <r>
      <rPr>
        <b/>
        <sz val="14"/>
        <color theme="1"/>
        <rFont val="Calibri"/>
        <family val="2"/>
        <charset val="204"/>
        <scheme val="minor"/>
      </rPr>
      <t xml:space="preserve"> возраст 10 лет, </t>
    </r>
    <r>
      <rPr>
        <b/>
        <sz val="14"/>
        <color rgb="FF0070C0"/>
        <rFont val="Calibri"/>
        <family val="2"/>
        <charset val="204"/>
        <scheme val="minor"/>
      </rPr>
      <t>полный срок</t>
    </r>
    <r>
      <rPr>
        <b/>
        <sz val="14"/>
        <color theme="1"/>
        <rFont val="Calibri"/>
        <family val="2"/>
        <charset val="204"/>
        <scheme val="minor"/>
      </rPr>
      <t xml:space="preserve"> жизни 28 лет, </t>
    </r>
    <r>
      <rPr>
        <b/>
        <sz val="14"/>
        <color rgb="FF0070C0"/>
        <rFont val="Calibri"/>
        <family val="2"/>
        <charset val="204"/>
        <scheme val="minor"/>
      </rPr>
      <t>остаточный срок экономической службы</t>
    </r>
    <r>
      <rPr>
        <b/>
        <sz val="14"/>
        <color theme="1"/>
        <rFont val="Calibri"/>
        <family val="2"/>
        <charset val="204"/>
        <scheme val="minor"/>
      </rPr>
      <t xml:space="preserve"> 15 лет.</t>
    </r>
  </si>
  <si>
    <r>
      <t xml:space="preserve">3.2.1.7. Оценщик проводит оценку зарегистрированного объекта недвижимости - </t>
    </r>
    <r>
      <rPr>
        <b/>
        <sz val="14"/>
        <color rgb="FFFF0000"/>
        <rFont val="Calibri"/>
        <family val="2"/>
        <charset val="204"/>
        <scheme val="minor"/>
      </rPr>
      <t>подземного</t>
    </r>
    <r>
      <rPr>
        <b/>
        <sz val="14"/>
        <color theme="1"/>
        <rFont val="Calibri"/>
        <family val="2"/>
        <charset val="204"/>
        <scheme val="minor"/>
      </rPr>
      <t xml:space="preserve"> резервуара из </t>
    </r>
    <r>
      <rPr>
        <b/>
        <sz val="14"/>
        <color rgb="FFFF0000"/>
        <rFont val="Calibri"/>
        <family val="2"/>
        <charset val="204"/>
        <scheme val="minor"/>
      </rPr>
      <t>нержавеющей</t>
    </r>
    <r>
      <rPr>
        <b/>
        <sz val="14"/>
        <color theme="1"/>
        <rFont val="Calibri"/>
        <family val="2"/>
        <charset val="204"/>
        <scheme val="minor"/>
      </rPr>
      <t xml:space="preserve"> стали внешним объемом 30 м3 и массой 10 тонн. В распоряжении оценщика имеются следующие данные: Стоимость изготовления металлоконструкций резервуара из углеродистой стали – 8 руб./кг без учета НДС, из нержавеющей стали – 15 руб./кг, без учета НДС. Стоимость доставки – 5% от стоимости металлоконструкций резервуара. Затраты на монтаж составляют 150% от стоимости металлоконструкций надземных металлических резервуаров и 170% от стоимости металлоконструкций надземных железобетонных и подземных металлических резервуаров. В качестве базы, к которой применяется коэффициент, выступает стоимость резервуаров из нержавеющей стали или железобетона (в зависимости от резервуара). Дополнительно необходимо понести затраты по выемке и вывозу грунта, которые составляют 1000 руб./м3 без учета НДС. Необходимый объем таких работ рассчитывается на основе внешнего объема резервуара и принимается равным ему. Оценщик пришел к выводу, что прибыль предпринимателя равна нулю. </t>
    </r>
    <r>
      <rPr>
        <b/>
        <sz val="14"/>
        <color rgb="FFFF0000"/>
        <rFont val="Calibri"/>
        <family val="2"/>
        <charset val="204"/>
        <scheme val="minor"/>
      </rPr>
      <t>Срок службы</t>
    </r>
    <r>
      <rPr>
        <b/>
        <sz val="14"/>
        <color theme="1"/>
        <rFont val="Calibri"/>
        <family val="2"/>
        <charset val="204"/>
        <scheme val="minor"/>
      </rPr>
      <t xml:space="preserve"> резервуара определен на уровне 20 лет, </t>
    </r>
    <r>
      <rPr>
        <b/>
        <sz val="14"/>
        <color rgb="FFFF0000"/>
        <rFont val="Calibri"/>
        <family val="2"/>
        <charset val="204"/>
        <scheme val="minor"/>
      </rPr>
      <t>оставшийся срок службы</t>
    </r>
    <r>
      <rPr>
        <b/>
        <sz val="14"/>
        <color theme="1"/>
        <rFont val="Calibri"/>
        <family val="2"/>
        <charset val="204"/>
        <scheme val="minor"/>
      </rPr>
      <t xml:space="preserve"> – 15 лет, </t>
    </r>
    <r>
      <rPr>
        <b/>
        <sz val="14"/>
        <color rgb="FFFF0000"/>
        <rFont val="Calibri"/>
        <family val="2"/>
        <charset val="204"/>
        <scheme val="minor"/>
      </rPr>
      <t>хронологический возраст</t>
    </r>
    <r>
      <rPr>
        <b/>
        <sz val="14"/>
        <color theme="1"/>
        <rFont val="Calibri"/>
        <family val="2"/>
        <charset val="204"/>
        <scheme val="minor"/>
      </rPr>
      <t xml:space="preserve"> – 3 года. Функциональное и экономическое устаревание отсутствует. Прибыль предпринимателя принять равной нулю. Все данные приведены для условий России. Определите рыночную стоимость данного резервуара в рамках затратного подхода (без учета НДС). результат округлить до сотен рублей.</t>
    </r>
  </si>
  <si>
    <t>Аккуратнее со скобками и знаками при решении в одно действие</t>
  </si>
  <si>
    <r>
      <t xml:space="preserve">3.2.1.10. Определить рыночную стоимость зарегистрированного объекта недвижимости - магистрального нефтепровода протяженностью 120 километров. Диаметр трубы - 820 мм, толщина стенки трубы -10 мм. Стоимость трубы с учетом изоляции по состоянию на дату публикации ценовой информации - 57 рублей/тонну. Масса трубы диаметром 820 мм с толщиной стенки -10 мм - 202 тонн/километр. Индекс перехода цен от даты публикации ценовой информации к дате оценки -1,15.
Стоимость строительно-монтажных работ по состоянию </t>
    </r>
    <r>
      <rPr>
        <b/>
        <sz val="14"/>
        <color rgb="FFFF0000"/>
        <rFont val="Calibri"/>
        <family val="2"/>
        <charset val="204"/>
        <scheme val="minor"/>
      </rPr>
      <t>на дату оценки</t>
    </r>
    <r>
      <rPr>
        <b/>
        <sz val="14"/>
        <color theme="1"/>
        <rFont val="Calibri"/>
        <family val="2"/>
        <charset val="204"/>
        <scheme val="minor"/>
      </rPr>
      <t xml:space="preserve"> - 16 000 рублей/километр.
</t>
    </r>
    <r>
      <rPr>
        <b/>
        <sz val="14"/>
        <color rgb="FFFF0000"/>
        <rFont val="Calibri"/>
        <family val="2"/>
        <charset val="204"/>
        <scheme val="minor"/>
      </rPr>
      <t>Возраст трубы</t>
    </r>
    <r>
      <rPr>
        <b/>
        <sz val="14"/>
        <color theme="1"/>
        <rFont val="Calibri"/>
        <family val="2"/>
        <charset val="204"/>
        <scheme val="minor"/>
      </rPr>
      <t xml:space="preserve"> -10 лет, </t>
    </r>
    <r>
      <rPr>
        <b/>
        <sz val="14"/>
        <color rgb="FFFF0000"/>
        <rFont val="Calibri"/>
        <family val="2"/>
        <charset val="204"/>
        <scheme val="minor"/>
      </rPr>
      <t>полный срок службы</t>
    </r>
    <r>
      <rPr>
        <b/>
        <sz val="14"/>
        <color theme="1"/>
        <rFont val="Calibri"/>
        <family val="2"/>
        <charset val="204"/>
        <scheme val="minor"/>
      </rPr>
      <t xml:space="preserve"> - 29 лет, </t>
    </r>
    <r>
      <rPr>
        <b/>
        <sz val="14"/>
        <color rgb="FFFF0000"/>
        <rFont val="Calibri"/>
        <family val="2"/>
        <charset val="204"/>
        <scheme val="minor"/>
      </rPr>
      <t>оставшийся срок службы</t>
    </r>
    <r>
      <rPr>
        <b/>
        <sz val="14"/>
        <color theme="1"/>
        <rFont val="Calibri"/>
        <family val="2"/>
        <charset val="204"/>
        <scheme val="minor"/>
      </rPr>
      <t xml:space="preserve"> 12 лет. Функциональное и экономическое устаревание и прибыль предпринимателя принять равной нулю. Результат округлить до тысяч рублей.</t>
    </r>
  </si>
  <si>
    <t>Износ начисляется на всё: и на трубу, и на СМР</t>
  </si>
  <si>
    <r>
      <t xml:space="preserve">3.2.1.12. (4 балла).
Определить в ценах </t>
    </r>
    <r>
      <rPr>
        <b/>
        <sz val="14"/>
        <color rgb="FFFF0000"/>
        <rFont val="Calibri"/>
        <family val="2"/>
        <charset val="204"/>
        <scheme val="minor"/>
      </rPr>
      <t>2016</t>
    </r>
    <r>
      <rPr>
        <b/>
        <sz val="14"/>
        <color theme="1"/>
        <rFont val="Calibri"/>
        <family val="2"/>
        <charset val="204"/>
        <scheme val="minor"/>
      </rPr>
      <t xml:space="preserve"> года затраты на замещение / воспроизводство с учетом физического износа складского здания из железобетона. Здание расположено в </t>
    </r>
    <r>
      <rPr>
        <b/>
        <sz val="14"/>
        <color rgb="FFFF0000"/>
        <rFont val="Calibri"/>
        <family val="2"/>
        <charset val="204"/>
        <scheme val="minor"/>
      </rPr>
      <t>Саратовской</t>
    </r>
    <r>
      <rPr>
        <b/>
        <sz val="14"/>
        <color theme="1"/>
        <rFont val="Calibri"/>
        <family val="2"/>
        <charset val="204"/>
        <scheme val="minor"/>
      </rPr>
      <t xml:space="preserve"> области. Следует использовать только один наиболее близкий аналог и учесть корректировку на объем.
Отрасль – </t>
    </r>
    <r>
      <rPr>
        <b/>
        <sz val="14"/>
        <color rgb="FFFF0000"/>
        <rFont val="Calibri"/>
        <family val="2"/>
        <charset val="204"/>
        <scheme val="minor"/>
      </rPr>
      <t>деревообработка</t>
    </r>
    <r>
      <rPr>
        <b/>
        <sz val="14"/>
        <color theme="1"/>
        <rFont val="Calibri"/>
        <family val="2"/>
        <charset val="204"/>
        <scheme val="minor"/>
      </rPr>
      <t xml:space="preserve">. Строительный объем объекта оценки 8000 куб.м. В справочнике приведены удельные показатели стоимости строительства в ценах </t>
    </r>
    <r>
      <rPr>
        <b/>
        <sz val="14"/>
        <color rgb="FFFF0000"/>
        <rFont val="Calibri"/>
        <family val="2"/>
        <charset val="204"/>
        <scheme val="minor"/>
      </rPr>
      <t>Московской</t>
    </r>
    <r>
      <rPr>
        <b/>
        <sz val="14"/>
        <color theme="1"/>
        <rFont val="Calibri"/>
        <family val="2"/>
        <charset val="204"/>
        <scheme val="minor"/>
      </rPr>
      <t xml:space="preserve"> области по состоянию на </t>
    </r>
    <r>
      <rPr>
        <b/>
        <sz val="14"/>
        <color rgb="FFFF0000"/>
        <rFont val="Calibri"/>
        <family val="2"/>
        <charset val="204"/>
        <scheme val="minor"/>
      </rPr>
      <t>2014</t>
    </r>
    <r>
      <rPr>
        <b/>
        <sz val="14"/>
        <color theme="1"/>
        <rFont val="Calibri"/>
        <family val="2"/>
        <charset val="204"/>
        <scheme val="minor"/>
      </rPr>
      <t xml:space="preserve"> год. </t>
    </r>
    <r>
      <rPr>
        <b/>
        <sz val="14"/>
        <color rgb="FFFF0000"/>
        <rFont val="Calibri"/>
        <family val="2"/>
        <charset val="204"/>
        <scheme val="minor"/>
      </rPr>
      <t>Возраст</t>
    </r>
    <r>
      <rPr>
        <b/>
        <sz val="14"/>
        <color theme="1"/>
        <rFont val="Calibri"/>
        <family val="2"/>
        <charset val="204"/>
        <scheme val="minor"/>
      </rPr>
      <t xml:space="preserve"> объекта оценки 10 лет, </t>
    </r>
    <r>
      <rPr>
        <b/>
        <sz val="14"/>
        <color rgb="FFFF0000"/>
        <rFont val="Calibri"/>
        <family val="2"/>
        <charset val="204"/>
        <scheme val="minor"/>
      </rPr>
      <t>полный срок службы</t>
    </r>
    <r>
      <rPr>
        <b/>
        <sz val="14"/>
        <color theme="1"/>
        <rFont val="Calibri"/>
        <family val="2"/>
        <charset val="204"/>
        <scheme val="minor"/>
      </rPr>
      <t xml:space="preserve"> 40 лет, </t>
    </r>
    <r>
      <rPr>
        <b/>
        <sz val="14"/>
        <color rgb="FFFF0000"/>
        <rFont val="Calibri"/>
        <family val="2"/>
        <charset val="204"/>
        <scheme val="minor"/>
      </rPr>
      <t>оставшийся срок службы</t>
    </r>
    <r>
      <rPr>
        <b/>
        <sz val="14"/>
        <color theme="1"/>
        <rFont val="Calibri"/>
        <family val="2"/>
        <charset val="204"/>
        <scheme val="minor"/>
      </rPr>
      <t xml:space="preserve"> 27 лет. Износ определить по методу эффективного возраста. Прибыль предпринимателя, функциональное и внешнее устаревание равны нулю. Результат округлить до сотен тысяч.
Данные об объектах-аналогах из отраслевого справочника.</t>
    </r>
  </si>
  <si>
    <r>
      <t xml:space="preserve">3.2.1.14. (4 балла). При каком значении прибыли предпринимателя (в % от выручки от продажи) выгоднее будет вариант строительства </t>
    </r>
    <r>
      <rPr>
        <b/>
        <sz val="14"/>
        <color rgb="FFFF0000"/>
        <rFont val="Calibri"/>
        <family val="2"/>
        <charset val="204"/>
        <scheme val="minor"/>
      </rPr>
      <t>жилого дома</t>
    </r>
    <r>
      <rPr>
        <b/>
        <sz val="14"/>
        <color theme="1"/>
        <rFont val="Calibri"/>
        <family val="2"/>
        <charset val="204"/>
        <scheme val="minor"/>
      </rPr>
      <t>? Есть два варианта использования свободного ЗУ:
1 вариант использования: Строительство офисного здания (общая площадью 5000 кв.м., арендопригодная - 4500 кв.м., арендная ставка 10 000 руб., загрузка 90%, операционные расходы составляют 1500 руб./кв.м. арендопригодной площади, коэффициент капитализации 12%, затраты на строительство 30 000 руб./кв.м. прибыль предпринимателя – 20% от цены продажи здания).
2 вариант использования: Строительство жилого дома (общая площадь - 5000 кв.м., площадь квартир - 4 000 кв.м., цена реализации квартир - 90 000 руб./кв.м., затраты на строительство - 45 000 руб./кв.м.)</t>
    </r>
  </si>
  <si>
    <r>
      <t xml:space="preserve">3.2.1.16. Затраты на создание зарегистрированного объекта недвижимости - металлического резервуара объемом 120 м3 составляют 110 000 руб. Коэффициент, учитывающий стоимость доставки и монтажа резервуара, составляет 1.7. Затраты на </t>
    </r>
    <r>
      <rPr>
        <b/>
        <sz val="14"/>
        <color rgb="FFFF0000"/>
        <rFont val="Calibri"/>
        <family val="2"/>
        <charset val="204"/>
        <scheme val="minor"/>
      </rPr>
      <t>ускоренную</t>
    </r>
    <r>
      <rPr>
        <b/>
        <sz val="14"/>
        <color theme="1"/>
        <rFont val="Calibri"/>
        <family val="2"/>
        <charset val="204"/>
        <scheme val="minor"/>
      </rPr>
      <t xml:space="preserve"> доставку металлоконструкций - 15 000 руб. Надбавка за </t>
    </r>
    <r>
      <rPr>
        <b/>
        <sz val="14"/>
        <color rgb="FFFF0000"/>
        <rFont val="Calibri"/>
        <family val="2"/>
        <charset val="204"/>
        <scheme val="minor"/>
      </rPr>
      <t>срочное</t>
    </r>
    <r>
      <rPr>
        <b/>
        <sz val="14"/>
        <color theme="1"/>
        <rFont val="Calibri"/>
        <family val="2"/>
        <charset val="204"/>
        <scheme val="minor"/>
      </rPr>
      <t xml:space="preserve"> оформление документации - 10% от стоимости металлоконструкций. Необходимо рассчитать стоимость замещения смонтированного резервуара объемом 150 куб. м с использованием коэффициента торможения. Для расчета коэффициента торможения использовать данные: затраты на создание металлического резервуара объемом 100 м3 составляют 100 000 руб., объемом 175 м3 - 140 000 руб.</t>
    </r>
  </si>
  <si>
    <r>
      <t xml:space="preserve">3.2.1.19. Затраты на замещение улучшений без учета износов и устареваний составляют 500 тыс. руб. Срок экономической жизни улучшений составляет 50 лет. Эффективный возраст улучшений составляет 20 лет. Сколько составляет величина </t>
    </r>
    <r>
      <rPr>
        <b/>
        <sz val="14"/>
        <color rgb="FFFF0000"/>
        <rFont val="Calibri"/>
        <family val="2"/>
        <charset val="204"/>
        <scheme val="minor"/>
      </rPr>
      <t>износа</t>
    </r>
    <r>
      <rPr>
        <b/>
        <sz val="14"/>
        <color theme="1"/>
        <rFont val="Calibri"/>
        <family val="2"/>
        <charset val="204"/>
        <scheme val="minor"/>
      </rPr>
      <t>, определенная методом эффективного возраста, если хронологический возраст улучшений 25 лет?</t>
    </r>
  </si>
  <si>
    <r>
      <t xml:space="preserve">3.2.2.1. Объект оценки - право собственности на коттедж и земельный участок. Сопоставимый </t>
    </r>
    <r>
      <rPr>
        <b/>
        <sz val="14"/>
        <color rgb="FFFF0000"/>
        <rFont val="Calibri"/>
        <family val="2"/>
        <charset val="204"/>
        <scheme val="minor"/>
      </rPr>
      <t>объект</t>
    </r>
    <r>
      <rPr>
        <b/>
        <sz val="14"/>
        <color theme="1"/>
        <rFont val="Calibri"/>
        <family val="2"/>
        <charset val="204"/>
        <scheme val="minor"/>
      </rPr>
      <t xml:space="preserve"> был продан за 1 000 000 руб. и отличается тем, что </t>
    </r>
    <r>
      <rPr>
        <b/>
        <sz val="14"/>
        <color rgb="FFFF0000"/>
        <rFont val="Calibri"/>
        <family val="2"/>
        <charset val="204"/>
        <scheme val="minor"/>
      </rPr>
      <t>имеет</t>
    </r>
    <r>
      <rPr>
        <b/>
        <sz val="14"/>
        <color theme="1"/>
        <rFont val="Calibri"/>
        <family val="2"/>
        <charset val="204"/>
        <scheme val="minor"/>
      </rPr>
      <t xml:space="preserve"> на 50 кв.м </t>
    </r>
    <r>
      <rPr>
        <b/>
        <sz val="14"/>
        <color rgb="FFFF0000"/>
        <rFont val="Calibri"/>
        <family val="2"/>
        <charset val="204"/>
        <scheme val="minor"/>
      </rPr>
      <t>большую</t>
    </r>
    <r>
      <rPr>
        <b/>
        <sz val="14"/>
        <color theme="1"/>
        <rFont val="Calibri"/>
        <family val="2"/>
        <charset val="204"/>
        <scheme val="minor"/>
      </rPr>
      <t xml:space="preserve"> площадь дома, </t>
    </r>
    <r>
      <rPr>
        <b/>
        <sz val="14"/>
        <color rgb="FFFF0000"/>
        <rFont val="Calibri"/>
        <family val="2"/>
        <charset val="204"/>
        <scheme val="minor"/>
      </rPr>
      <t>а также</t>
    </r>
    <r>
      <rPr>
        <b/>
        <sz val="14"/>
        <color theme="1"/>
        <rFont val="Calibri"/>
        <family val="2"/>
        <charset val="204"/>
        <scheme val="minor"/>
      </rPr>
      <t xml:space="preserve"> отдельно-стоящий </t>
    </r>
    <r>
      <rPr>
        <b/>
        <sz val="14"/>
        <color rgb="FFFF0000"/>
        <rFont val="Calibri"/>
        <family val="2"/>
        <charset val="204"/>
        <scheme val="minor"/>
      </rPr>
      <t>гараж</t>
    </r>
    <r>
      <rPr>
        <b/>
        <sz val="14"/>
        <color theme="1"/>
        <rFont val="Calibri"/>
        <family val="2"/>
        <charset val="204"/>
        <scheme val="minor"/>
      </rPr>
      <t>. Из анализа продаж оценщик выяснил, что наличие гаража увеличивает рыночную цену на 150 000 руб., а каждый дополнительный кв. м площади коттеджа прибавляет 8 000 руб. к рыночной цене объекта. Считать, что иные характеристики объекта и аналога сопоставимы. Определить рыночную стоимость Объекта оценки. Результат округлить до тысяч рублей.</t>
    </r>
  </si>
  <si>
    <t>"Нагрузка"</t>
  </si>
  <si>
    <t>Ответ: Недостаточно данных для расчета</t>
  </si>
  <si>
    <t>Лайфхак: итоговый ответ будет близок к РС объекта в собственности</t>
  </si>
  <si>
    <r>
      <t xml:space="preserve">3.2.2.6. КВАРТИРА. Определить рыночную стоимость двухкомнатной квартиры во введенном в эксплуатацию доме эконом-класса, находящемся в Юго-восточном административном округе населенного пункта. </t>
    </r>
    <r>
      <rPr>
        <b/>
        <sz val="14"/>
        <color rgb="FFFF0000"/>
        <rFont val="Calibri"/>
        <family val="2"/>
        <charset val="204"/>
        <scheme val="minor"/>
      </rPr>
      <t>Общая</t>
    </r>
    <r>
      <rPr>
        <b/>
        <sz val="14"/>
        <color theme="1"/>
        <rFont val="Calibri"/>
        <family val="2"/>
        <charset val="204"/>
        <scheme val="minor"/>
      </rPr>
      <t xml:space="preserve"> площадь квартиры 60 кв.м, жилая площадь квартиры 41 кв.м. Разница между ценами сделок и ценами предложений составляет 7%. Для расчета удельной стоимости объекта скорректированные цены аналогов учитывайте с одинаковыми весами, корректировки применяйте последовательно. Результат расчета округлите до десятков тысяч рублей. Данные для расчета приведены в таблицах далее. Считать, что никакие корректировки, кроме перечисленных в Таблице №1, не требуются.</t>
    </r>
  </si>
  <si>
    <t>Примечание: можно считать последовательно, как привыкли, после каждой корректировки рассчитывая промежуточную цену аналога, но это лишнее время.</t>
  </si>
  <si>
    <r>
      <rPr>
        <sz val="14"/>
        <color rgb="FFFF0000"/>
        <rFont val="Calibri"/>
        <family val="2"/>
        <charset val="204"/>
        <scheme val="minor"/>
      </rPr>
      <t>Общая</t>
    </r>
    <r>
      <rPr>
        <sz val="14"/>
        <color theme="1"/>
        <rFont val="Calibri"/>
        <family val="2"/>
        <charset val="204"/>
        <scheme val="minor"/>
      </rPr>
      <t xml:space="preserve"> площадь, кв.м.</t>
    </r>
  </si>
  <si>
    <r>
      <t xml:space="preserve">3.2.2.7. Определить рыночную стоимость здания </t>
    </r>
    <r>
      <rPr>
        <b/>
        <sz val="14"/>
        <color rgb="FFFF0000"/>
        <rFont val="Calibri"/>
        <family val="2"/>
        <charset val="204"/>
        <scheme val="minor"/>
      </rPr>
      <t>с</t>
    </r>
    <r>
      <rPr>
        <b/>
        <sz val="14"/>
        <color theme="1"/>
        <rFont val="Calibri"/>
        <family val="2"/>
        <charset val="204"/>
        <scheme val="minor"/>
      </rPr>
      <t xml:space="preserve"> дебаркадером площадью 1000 кв.м (без учета площади дебаркадера). Цена аналога (здания </t>
    </r>
    <r>
      <rPr>
        <b/>
        <sz val="14"/>
        <color rgb="FFFF0000"/>
        <rFont val="Calibri"/>
        <family val="2"/>
        <charset val="204"/>
        <scheme val="minor"/>
      </rPr>
      <t>без</t>
    </r>
    <r>
      <rPr>
        <b/>
        <sz val="14"/>
        <color theme="1"/>
        <rFont val="Calibri"/>
        <family val="2"/>
        <charset val="204"/>
        <scheme val="minor"/>
      </rPr>
      <t xml:space="preserve"> дебаркадера) – 40 000 руб./кв.м. </t>
    </r>
    <r>
      <rPr>
        <b/>
        <sz val="14"/>
        <color rgb="FFFF0000"/>
        <rFont val="Calibri"/>
        <family val="2"/>
        <charset val="204"/>
        <scheme val="minor"/>
      </rPr>
      <t>При прочих равных, объекты, состояние которых аналогично состоянию оцениваемого здания, на 30% дешевле объектов с состоянием, аналогичным состоянию аналога*</t>
    </r>
    <r>
      <rPr>
        <b/>
        <sz val="14"/>
        <color theme="1"/>
        <rFont val="Calibri"/>
        <family val="2"/>
        <charset val="204"/>
        <scheme val="minor"/>
      </rPr>
      <t>. Абсолютная корректировка на наличие дебаркадера - 50 000 руб. Для решения данной задачи первой вносится относительная корректировка. Внесение иных корректировок не требуется. Результат округлить до тысяч рублей.</t>
    </r>
  </si>
  <si>
    <t>*Внимательно перефразировать в более понятное выражение</t>
  </si>
  <si>
    <t>Проверка себя</t>
  </si>
  <si>
    <r>
      <t xml:space="preserve">3.2.2.10. Определить рыночную стоимость земельного участка площадью 2 га, категории земли поселений, разрешенное использование – строительство </t>
    </r>
    <r>
      <rPr>
        <b/>
        <sz val="14"/>
        <color rgb="FFFF0000"/>
        <rFont val="Calibri"/>
        <family val="2"/>
        <charset val="204"/>
        <scheme val="minor"/>
      </rPr>
      <t>торговых</t>
    </r>
    <r>
      <rPr>
        <b/>
        <sz val="14"/>
        <color theme="1"/>
        <rFont val="Calibri"/>
        <family val="2"/>
        <charset val="204"/>
        <scheme val="minor"/>
      </rPr>
      <t xml:space="preserve"> объектов. Имеется информация о следующих предложениях на продажу земельных участков (цена предложения, площадь, категория, разрешенное использование).
Для расчета предположить, что НЭИ для всех предложений соответствует разрешенному использованию, корректировка на уторговывание 5%, корректировка цены единицы в сравнении – 1га – аналога на площадь при отклонении площади аналога от площади объекта на </t>
    </r>
    <r>
      <rPr>
        <b/>
        <sz val="14"/>
        <color rgb="FFFF0000"/>
        <rFont val="Calibri"/>
        <family val="2"/>
        <charset val="204"/>
        <scheme val="minor"/>
      </rPr>
      <t>+/10%</t>
    </r>
    <r>
      <rPr>
        <b/>
        <sz val="14"/>
        <color theme="1"/>
        <rFont val="Calibri"/>
        <family val="2"/>
        <charset val="204"/>
        <scheme val="minor"/>
      </rPr>
      <t xml:space="preserve"> составляет соответственно +/-3%. Значения прочих характеристик считать одинаковыми, веса использованных аналогов взять равными. Результат округлить до десятков тысяч.</t>
    </r>
  </si>
  <si>
    <t>В отношении площади в условии ошибки нет. Если площадь аналога больше, то его удельная цена дешевле, и корректировка должна быть в плюс.</t>
  </si>
  <si>
    <r>
      <t xml:space="preserve">Строительство </t>
    </r>
    <r>
      <rPr>
        <sz val="14"/>
        <color rgb="FFFF0000"/>
        <rFont val="Calibri"/>
        <family val="2"/>
        <charset val="204"/>
        <scheme val="minor"/>
      </rPr>
      <t>ТЦ</t>
    </r>
  </si>
  <si>
    <r>
      <t xml:space="preserve">Строительство </t>
    </r>
    <r>
      <rPr>
        <sz val="14"/>
        <color rgb="FFFF0000"/>
        <rFont val="Calibri"/>
        <family val="2"/>
        <charset val="204"/>
        <scheme val="minor"/>
      </rPr>
      <t>торговых объектов</t>
    </r>
  </si>
  <si>
    <r>
      <t xml:space="preserve">3.2.2.12. Валовый рентный мультипликатор для рынка офисных помещений составляет 5. Определить рыночную стоимость офисного помещения общей площадью 100 кв. м., если известно, что оно сдано в аренду по ставке 1000 руб/кв.м., общей площади </t>
    </r>
    <r>
      <rPr>
        <b/>
        <sz val="14"/>
        <color rgb="FFFF0000"/>
        <rFont val="Calibri"/>
        <family val="2"/>
        <charset val="204"/>
        <scheme val="minor"/>
      </rPr>
      <t>в месяц*</t>
    </r>
    <r>
      <rPr>
        <b/>
        <sz val="14"/>
        <color theme="1"/>
        <rFont val="Calibri"/>
        <family val="2"/>
        <charset val="204"/>
        <scheme val="minor"/>
      </rPr>
      <t xml:space="preserve">, </t>
    </r>
    <r>
      <rPr>
        <b/>
        <sz val="14"/>
        <color rgb="FFFF0000"/>
        <rFont val="Calibri"/>
        <family val="2"/>
        <charset val="204"/>
        <scheme val="minor"/>
      </rPr>
      <t>дополнительно</t>
    </r>
    <r>
      <rPr>
        <b/>
        <sz val="14"/>
        <color theme="1"/>
        <rFont val="Calibri"/>
        <family val="2"/>
        <charset val="204"/>
        <scheme val="minor"/>
      </rPr>
      <t xml:space="preserve"> арендатор возмещает операционные расходы из расчета 100 руб/кв.м. общей площади </t>
    </r>
    <r>
      <rPr>
        <b/>
        <sz val="14"/>
        <color rgb="FFFF0000"/>
        <rFont val="Calibri"/>
        <family val="2"/>
        <charset val="204"/>
        <scheme val="minor"/>
      </rPr>
      <t>в месяц</t>
    </r>
    <r>
      <rPr>
        <b/>
        <sz val="14"/>
        <color theme="1"/>
        <rFont val="Calibri"/>
        <family val="2"/>
        <charset val="204"/>
        <scheme val="minor"/>
      </rPr>
      <t>. Ставки аренды и возмещения операционных расходов соответствуют рыночным. Результат округлить до сотен тысяч руб.</t>
    </r>
  </si>
  <si>
    <t>*Внимательнее к этим моментам на экзамене. Может быть в месяц, может быть в год, а может быть один показатель - в месяц, а другой - в год.</t>
  </si>
  <si>
    <r>
      <t xml:space="preserve">3.2.2.20. Определить рыночную стоимость земельного участка площадью 2 га, категории земли промышленности, разрешенное использование – строительство </t>
    </r>
    <r>
      <rPr>
        <b/>
        <sz val="14"/>
        <color rgb="FFFF0000"/>
        <rFont val="Calibri"/>
        <family val="2"/>
        <charset val="204"/>
        <scheme val="minor"/>
      </rPr>
      <t>административно-офисных объектов</t>
    </r>
    <r>
      <rPr>
        <b/>
        <sz val="14"/>
        <color theme="1"/>
        <rFont val="Calibri"/>
        <family val="2"/>
        <charset val="204"/>
        <scheme val="minor"/>
      </rPr>
      <t>. Имеется информация о следующих предложениях на продажу земельных участков (цена предложения, площадь, категория, разрешенное использование).
Для расчета предположить, что НЭИ для всех предложений соответствует разрешенному использованию, корректировка на уторговывание 7%, корректировка цены единицы сравнения – 1га – аналога на площадь при отклонении площади аналога от площади объекта на +/- 10% составляет соответственно +/-3%. Значения прочих характеристик считать одинаковыми, веса использованных аналогов взять равными. Результат округлить до десятков тысяч.</t>
    </r>
  </si>
  <si>
    <r>
      <t xml:space="preserve">Строительство </t>
    </r>
    <r>
      <rPr>
        <sz val="14"/>
        <color rgb="FFFF0000"/>
        <rFont val="Calibri"/>
        <family val="2"/>
        <charset val="204"/>
        <scheme val="minor"/>
      </rPr>
      <t>офиса</t>
    </r>
  </si>
  <si>
    <r>
      <t xml:space="preserve">Строительство </t>
    </r>
    <r>
      <rPr>
        <sz val="14"/>
        <color rgb="FFFF0000"/>
        <rFont val="Calibri"/>
        <family val="2"/>
        <charset val="204"/>
        <scheme val="minor"/>
      </rPr>
      <t>административного</t>
    </r>
    <r>
      <rPr>
        <sz val="14"/>
        <color theme="1"/>
        <rFont val="Calibri"/>
        <family val="2"/>
        <charset val="204"/>
        <scheme val="minor"/>
      </rPr>
      <t xml:space="preserve"> здания</t>
    </r>
  </si>
  <si>
    <r>
      <t xml:space="preserve">3.2.2.21. Определить рыночную стоимость земельного участка </t>
    </r>
    <r>
      <rPr>
        <b/>
        <sz val="14"/>
        <color rgb="FFFF0000"/>
        <rFont val="Calibri"/>
        <family val="2"/>
        <charset val="204"/>
        <scheme val="minor"/>
      </rPr>
      <t>под жилую</t>
    </r>
    <r>
      <rPr>
        <b/>
        <sz val="14"/>
        <color theme="1"/>
        <rFont val="Calibri"/>
        <family val="2"/>
        <charset val="204"/>
        <scheme val="minor"/>
      </rPr>
      <t xml:space="preserve"> застройку. Площадь участка 2 га, на нем можно построить 15000 кв.м жилых площадей. Известна информация о следующих сделках (считать, что описанные ниже участки сопоставимы с оцениваемым по всем характеристикам кроме указанных в описании):
А. Участок площадью 0,5 га, под строительство офисного центра общей площадью 10 тыс. кв.м, цена продажи 10 млн руб.
Б. Участок площадью 1 га под строительство 5 тыс. кв.м </t>
    </r>
    <r>
      <rPr>
        <b/>
        <sz val="14"/>
        <color rgb="FFFF0000"/>
        <rFont val="Calibri"/>
        <family val="2"/>
        <charset val="204"/>
        <scheme val="minor"/>
      </rPr>
      <t>жилья</t>
    </r>
    <r>
      <rPr>
        <b/>
        <sz val="14"/>
        <color theme="1"/>
        <rFont val="Calibri"/>
        <family val="2"/>
        <charset val="204"/>
        <scheme val="minor"/>
      </rPr>
      <t xml:space="preserve">, цена продажи 15 млн руб.
В. Участок общей площадью 2 га под строительство гостиницы площадью 15000 кв.м, цена продажи 30 млн руб.
Г. Участок общей площадью 2,5 га под строительство 20000 кв.м </t>
    </r>
    <r>
      <rPr>
        <b/>
        <sz val="14"/>
        <color rgb="FFFF0000"/>
        <rFont val="Calibri"/>
        <family val="2"/>
        <charset val="204"/>
        <scheme val="minor"/>
      </rPr>
      <t>жилья</t>
    </r>
    <r>
      <rPr>
        <b/>
        <sz val="14"/>
        <color theme="1"/>
        <rFont val="Calibri"/>
        <family val="2"/>
        <charset val="204"/>
        <scheme val="minor"/>
      </rPr>
      <t>, цена продажи 60 млн руб.</t>
    </r>
  </si>
  <si>
    <r>
      <t xml:space="preserve">3.2.2.23. Влияние общей площади на стоимость объекта недвижимости описывается зависимостью C = 500 – 2*S. Данная зависимость определена при анализе объектов площадью от </t>
    </r>
    <r>
      <rPr>
        <b/>
        <sz val="14"/>
        <color rgb="FF00B050"/>
        <rFont val="Calibri"/>
        <family val="2"/>
        <charset val="204"/>
        <scheme val="minor"/>
      </rPr>
      <t>50</t>
    </r>
    <r>
      <rPr>
        <b/>
        <sz val="14"/>
        <color theme="1"/>
        <rFont val="Calibri"/>
        <family val="2"/>
        <charset val="204"/>
        <scheme val="minor"/>
      </rPr>
      <t xml:space="preserve"> до </t>
    </r>
    <r>
      <rPr>
        <b/>
        <sz val="14"/>
        <color rgb="FF00B050"/>
        <rFont val="Calibri"/>
        <family val="2"/>
        <charset val="204"/>
        <scheme val="minor"/>
      </rPr>
      <t>90</t>
    </r>
    <r>
      <rPr>
        <b/>
        <sz val="14"/>
        <color theme="1"/>
        <rFont val="Calibri"/>
        <family val="2"/>
        <charset val="204"/>
        <scheme val="minor"/>
      </rPr>
      <t xml:space="preserve"> кв.м. Площадь аналога </t>
    </r>
    <r>
      <rPr>
        <b/>
        <sz val="14"/>
        <color rgb="FF00B050"/>
        <rFont val="Calibri"/>
        <family val="2"/>
        <charset val="204"/>
        <scheme val="minor"/>
      </rPr>
      <t>70</t>
    </r>
    <r>
      <rPr>
        <b/>
        <sz val="14"/>
        <color theme="1"/>
        <rFont val="Calibri"/>
        <family val="2"/>
        <charset val="204"/>
        <scheme val="minor"/>
      </rPr>
      <t xml:space="preserve"> кв.м. Определить величину корректировки на разницу в площади (в процентах, с учетом знака) для объекта площадью </t>
    </r>
    <r>
      <rPr>
        <b/>
        <sz val="14"/>
        <color rgb="FFFF0000"/>
        <rFont val="Calibri"/>
        <family val="2"/>
        <charset val="204"/>
        <scheme val="minor"/>
      </rPr>
      <t>200</t>
    </r>
    <r>
      <rPr>
        <b/>
        <sz val="14"/>
        <color theme="1"/>
        <rFont val="Calibri"/>
        <family val="2"/>
        <charset val="204"/>
        <scheme val="minor"/>
      </rPr>
      <t xml:space="preserve"> кв.м.</t>
    </r>
  </si>
  <si>
    <r>
      <t xml:space="preserve">3.2.3.1. Определить годовой </t>
    </r>
    <r>
      <rPr>
        <b/>
        <sz val="14"/>
        <color rgb="FFFF0000"/>
        <rFont val="Calibri"/>
        <family val="2"/>
        <charset val="204"/>
        <scheme val="minor"/>
      </rPr>
      <t>потенциальный</t>
    </r>
    <r>
      <rPr>
        <b/>
        <sz val="14"/>
        <color theme="1"/>
        <rFont val="Calibri"/>
        <family val="2"/>
        <charset val="204"/>
        <scheme val="minor"/>
      </rPr>
      <t xml:space="preserve"> валовой доход для объекта недвижимости. Общая площадь помещений 450 кв.м. Арендопригодная площадь помещений 410 кв. м. Рыночная арендная плата 7000 руб./кв.м арендопригодной площади в год. Вакантная площадь 5%. Результат округлить до тысяч рублей.</t>
    </r>
  </si>
  <si>
    <r>
      <t xml:space="preserve">3.2.3.3. (4 балла). Определить рыночную стоимость офисного здания, если известно что его общая площадь составляет 5 тыс кв.м, арендопригодная площадь 4 тыс кв. м. Предполагается, что </t>
    </r>
    <r>
      <rPr>
        <b/>
        <sz val="14"/>
        <color rgb="FFFF0000"/>
        <rFont val="Calibri"/>
        <family val="2"/>
        <charset val="204"/>
        <scheme val="minor"/>
      </rPr>
      <t>первый</t>
    </r>
    <r>
      <rPr>
        <b/>
        <sz val="14"/>
        <color theme="1"/>
        <rFont val="Calibri"/>
        <family val="2"/>
        <charset val="204"/>
        <scheme val="minor"/>
      </rPr>
      <t xml:space="preserve"> и </t>
    </r>
    <r>
      <rPr>
        <b/>
        <sz val="14"/>
        <color rgb="FFFF0000"/>
        <rFont val="Calibri"/>
        <family val="2"/>
        <charset val="204"/>
        <scheme val="minor"/>
      </rPr>
      <t>второй</t>
    </r>
    <r>
      <rPr>
        <b/>
        <sz val="14"/>
        <color theme="1"/>
        <rFont val="Calibri"/>
        <family val="2"/>
        <charset val="204"/>
        <scheme val="minor"/>
      </rPr>
      <t xml:space="preserve"> годы прогнозного периода, здание сдается в краткосрочную аренду на рыночных условиях, рыночная ставка аренды – 25 тыс руб/кв. м/год, при этом загрузка площадей составляет 70% в первый и 50% во второй годы. </t>
    </r>
    <r>
      <rPr>
        <b/>
        <sz val="14"/>
        <color rgb="FFFF0000"/>
        <rFont val="Calibri"/>
        <family val="2"/>
        <charset val="204"/>
        <scheme val="minor"/>
      </rPr>
      <t>Начиная с третьего</t>
    </r>
    <r>
      <rPr>
        <b/>
        <sz val="14"/>
        <color theme="1"/>
        <rFont val="Calibri"/>
        <family val="2"/>
        <charset val="204"/>
        <scheme val="minor"/>
      </rPr>
      <t xml:space="preserve"> года, все здание будет сдано одному арендатору в аренду на 49 лет. В </t>
    </r>
    <r>
      <rPr>
        <b/>
        <sz val="14"/>
        <color rgb="FFFF0000"/>
        <rFont val="Calibri"/>
        <family val="2"/>
        <charset val="204"/>
        <scheme val="minor"/>
      </rPr>
      <t>первый</t>
    </r>
    <r>
      <rPr>
        <b/>
        <sz val="14"/>
        <color theme="1"/>
        <rFont val="Calibri"/>
        <family val="2"/>
        <charset val="204"/>
        <scheme val="minor"/>
      </rPr>
      <t xml:space="preserve"> год ставка аренды составит 10 тыс руб/кв.м </t>
    </r>
    <r>
      <rPr>
        <b/>
        <sz val="14"/>
        <rFont val="Calibri"/>
        <family val="2"/>
        <charset val="204"/>
        <scheme val="minor"/>
      </rPr>
      <t xml:space="preserve">арендопригодной </t>
    </r>
    <r>
      <rPr>
        <b/>
        <sz val="14"/>
        <color theme="1"/>
        <rFont val="Calibri"/>
        <family val="2"/>
        <charset val="204"/>
        <scheme val="minor"/>
      </rPr>
      <t xml:space="preserve">площади/год, а начиная </t>
    </r>
    <r>
      <rPr>
        <b/>
        <sz val="14"/>
        <color rgb="FFFF0000"/>
        <rFont val="Calibri"/>
        <family val="2"/>
        <charset val="204"/>
        <scheme val="minor"/>
      </rPr>
      <t>со второго и далее</t>
    </r>
    <r>
      <rPr>
        <b/>
        <sz val="14"/>
        <color theme="1"/>
        <rFont val="Calibri"/>
        <family val="2"/>
        <charset val="204"/>
        <scheme val="minor"/>
      </rPr>
      <t xml:space="preserve"> на весь срок аренды – 30 тыс руб/кв.м арендопригодной площади / год. Можно считать, что в течение всего срока аренды поступления платежей по договору полностью гарантировано. </t>
    </r>
    <r>
      <rPr>
        <b/>
        <sz val="14"/>
        <color rgb="FFFF0000"/>
        <rFont val="Calibri"/>
        <family val="2"/>
        <charset val="204"/>
        <scheme val="minor"/>
      </rPr>
      <t>Дополнительно</t>
    </r>
    <r>
      <rPr>
        <b/>
        <sz val="14"/>
        <color theme="1"/>
        <rFont val="Calibri"/>
        <family val="2"/>
        <charset val="204"/>
        <scheme val="minor"/>
      </rPr>
      <t xml:space="preserve"> к арендной плате все арендаторы оплачивают операционные расходы в размере 2 тыс.руб/год/кв.м </t>
    </r>
    <r>
      <rPr>
        <b/>
        <sz val="14"/>
        <color rgb="FF7030A0"/>
        <rFont val="Calibri"/>
        <family val="2"/>
        <charset val="204"/>
        <scheme val="minor"/>
      </rPr>
      <t>арендуемой</t>
    </r>
    <r>
      <rPr>
        <b/>
        <sz val="14"/>
        <color theme="1"/>
        <rFont val="Calibri"/>
        <family val="2"/>
        <charset val="204"/>
        <scheme val="minor"/>
      </rPr>
      <t xml:space="preserve"> площади, что соответствует рыночной практике. Фактические операционные расходы по зданию составляют 8 тыс руб/год/кв.м </t>
    </r>
    <r>
      <rPr>
        <b/>
        <sz val="14"/>
        <color rgb="FFFF0000"/>
        <rFont val="Calibri"/>
        <family val="2"/>
        <charset val="204"/>
        <scheme val="minor"/>
      </rPr>
      <t>общей</t>
    </r>
    <r>
      <rPr>
        <b/>
        <sz val="14"/>
        <color theme="1"/>
        <rFont val="Calibri"/>
        <family val="2"/>
        <charset val="204"/>
        <scheme val="minor"/>
      </rPr>
      <t xml:space="preserve"> площади все ставки аренды, возмещаемые и фактические расходы предполагаются постоянными, ставка терминальной капитализации – 12%, затраты на продажу не учитывать, требуемая рыночная норма доходности для подобных инвестиций -14%. Период прогноза предположить равным </t>
    </r>
    <r>
      <rPr>
        <b/>
        <sz val="14"/>
        <color rgb="FFFF0000"/>
        <rFont val="Calibri"/>
        <family val="2"/>
        <charset val="204"/>
        <scheme val="minor"/>
      </rPr>
      <t>трем годам</t>
    </r>
    <r>
      <rPr>
        <b/>
        <sz val="14"/>
        <color theme="1"/>
        <rFont val="Calibri"/>
        <family val="2"/>
        <charset val="204"/>
        <scheme val="minor"/>
      </rPr>
      <t>. Дисконтирование выполнять на конец периодов модели, результат округлить до миллионов.</t>
    </r>
  </si>
  <si>
    <r>
      <t xml:space="preserve">3.2.3.6. Рассчитать рыночную стоимость </t>
    </r>
    <r>
      <rPr>
        <b/>
        <sz val="14"/>
        <color rgb="FFFF0000"/>
        <rFont val="Calibri"/>
        <family val="2"/>
        <charset val="204"/>
        <scheme val="minor"/>
      </rPr>
      <t>земельного участка</t>
    </r>
    <r>
      <rPr>
        <b/>
        <sz val="14"/>
        <color theme="1"/>
        <rFont val="Calibri"/>
        <family val="2"/>
        <charset val="204"/>
        <scheme val="minor"/>
      </rPr>
      <t xml:space="preserve">, НЭИ которого заключается в строительстве офисного здания общей площадью 5000 кв.м, арендопригодная площадь 4500 кв.м. Известно, что затраты на строительство составят 400 млн руб. и будут понесены в течение </t>
    </r>
    <r>
      <rPr>
        <b/>
        <sz val="14"/>
        <color rgb="FFFF0000"/>
        <rFont val="Calibri"/>
        <family val="2"/>
        <charset val="204"/>
        <scheme val="minor"/>
      </rPr>
      <t>двух лет</t>
    </r>
    <r>
      <rPr>
        <b/>
        <sz val="14"/>
        <color theme="1"/>
        <rFont val="Calibri"/>
        <family val="2"/>
        <charset val="204"/>
        <scheme val="minor"/>
      </rPr>
      <t xml:space="preserve"> равными долями, </t>
    </r>
    <r>
      <rPr>
        <b/>
        <sz val="14"/>
        <color rgb="FFFF0000"/>
        <rFont val="Calibri"/>
        <family val="2"/>
        <charset val="204"/>
        <scheme val="minor"/>
      </rPr>
      <t>после чего объект будет введен в эксплуатацию</t>
    </r>
    <r>
      <rPr>
        <b/>
        <sz val="14"/>
        <color theme="1"/>
        <rFont val="Calibri"/>
        <family val="2"/>
        <charset val="204"/>
        <scheme val="minor"/>
      </rPr>
      <t xml:space="preserve">. Потенциальный арендный доход для собственника составляет 20000 руб за кв.м арендопригодной площади в год (все расходы по эксплуатации и содержанию здания оплачивают имеющиеся арендаторы независимо от общей загрузки), </t>
    </r>
    <r>
      <rPr>
        <b/>
        <sz val="14"/>
        <color rgb="FFFF0000"/>
        <rFont val="Calibri"/>
        <family val="2"/>
        <charset val="204"/>
        <scheme val="minor"/>
      </rPr>
      <t>в первый год</t>
    </r>
    <r>
      <rPr>
        <b/>
        <sz val="14"/>
        <color theme="1"/>
        <rFont val="Calibri"/>
        <family val="2"/>
        <charset val="204"/>
        <scheme val="minor"/>
      </rPr>
      <t xml:space="preserve"> </t>
    </r>
    <r>
      <rPr>
        <b/>
        <sz val="14"/>
        <color rgb="FF7030A0"/>
        <rFont val="Calibri"/>
        <family val="2"/>
        <charset val="204"/>
        <scheme val="minor"/>
      </rPr>
      <t>эксплуатации</t>
    </r>
    <r>
      <rPr>
        <b/>
        <sz val="14"/>
        <color theme="1"/>
        <rFont val="Calibri"/>
        <family val="2"/>
        <charset val="204"/>
        <scheme val="minor"/>
      </rPr>
      <t xml:space="preserve"> </t>
    </r>
    <r>
      <rPr>
        <b/>
        <sz val="14"/>
        <color rgb="FFFF0000"/>
        <rFont val="Calibri"/>
        <family val="2"/>
        <charset val="204"/>
        <scheme val="minor"/>
      </rPr>
      <t>загрузка</t>
    </r>
    <r>
      <rPr>
        <b/>
        <sz val="14"/>
        <color theme="1"/>
        <rFont val="Calibri"/>
        <family val="2"/>
        <charset val="204"/>
        <scheme val="minor"/>
      </rPr>
      <t xml:space="preserve"> составит 70%, а, начиная со следующего, стабилизируется на 85%. Все ценовые показатели сохраняются неизменными. Ставка терминальной капитализации составляет 10%, затраты на продажу и брокерскую комиссию за сдачу площадей в аренду не учитывать, ставка дисконтирования </t>
    </r>
    <r>
      <rPr>
        <b/>
        <sz val="14"/>
        <color rgb="FFFF0000"/>
        <rFont val="Calibri"/>
        <family val="2"/>
        <charset val="204"/>
        <scheme val="minor"/>
      </rPr>
      <t>операционного</t>
    </r>
    <r>
      <rPr>
        <b/>
        <sz val="14"/>
        <color theme="1"/>
        <rFont val="Calibri"/>
        <family val="2"/>
        <charset val="204"/>
        <scheme val="minor"/>
      </rPr>
      <t xml:space="preserve"> периода 16%, </t>
    </r>
    <r>
      <rPr>
        <b/>
        <sz val="14"/>
        <color rgb="FFFF0000"/>
        <rFont val="Calibri"/>
        <family val="2"/>
        <charset val="204"/>
        <scheme val="minor"/>
      </rPr>
      <t>инвестиционного</t>
    </r>
    <r>
      <rPr>
        <b/>
        <sz val="14"/>
        <color theme="1"/>
        <rFont val="Calibri"/>
        <family val="2"/>
        <charset val="204"/>
        <scheme val="minor"/>
      </rPr>
      <t xml:space="preserve"> периода - 21%. Дисконтирование выполнять на конец периодов модели, период прогнозирования - 3 года, результат округлить до миллионов рублей.</t>
    </r>
  </si>
  <si>
    <t>Осталось 4 платежа по кредиту</t>
  </si>
  <si>
    <r>
      <t xml:space="preserve">3.2.3.10. Рассчитать ставку дисконтирования, номинированную в </t>
    </r>
    <r>
      <rPr>
        <b/>
        <sz val="14"/>
        <color rgb="FFFF0000"/>
        <rFont val="Calibri"/>
        <family val="2"/>
        <charset val="204"/>
        <scheme val="minor"/>
      </rPr>
      <t>рублях</t>
    </r>
    <r>
      <rPr>
        <b/>
        <sz val="14"/>
        <color theme="1"/>
        <rFont val="Calibri"/>
        <family val="2"/>
        <charset val="204"/>
        <scheme val="minor"/>
      </rPr>
      <t xml:space="preserve">, в качестве безрисковой взять доходность облигаций. Безрисковая доходность </t>
    </r>
    <r>
      <rPr>
        <b/>
        <sz val="14"/>
        <color rgb="FFFF0000"/>
        <rFont val="Calibri"/>
        <family val="2"/>
        <charset val="204"/>
        <scheme val="minor"/>
      </rPr>
      <t>ОФЗ</t>
    </r>
    <r>
      <rPr>
        <b/>
        <sz val="14"/>
        <color theme="1"/>
        <rFont val="Calibri"/>
        <family val="2"/>
        <charset val="204"/>
        <scheme val="minor"/>
      </rPr>
      <t xml:space="preserve"> – 3,1%, валютная доходность - 3,5%, премия за риск-вложения и премия за инвестиционный менеджмент – по 2,5%. Срок экспозиции – 4 месяца.</t>
    </r>
  </si>
  <si>
    <r>
      <t xml:space="preserve">3.2.3.13. Оценивается земельный участок с учетом </t>
    </r>
    <r>
      <rPr>
        <b/>
        <sz val="14"/>
        <color rgb="FFFF0000"/>
        <rFont val="Calibri"/>
        <family val="2"/>
        <charset val="204"/>
        <scheme val="minor"/>
      </rPr>
      <t>обязательства</t>
    </r>
    <r>
      <rPr>
        <b/>
        <sz val="14"/>
        <color theme="1"/>
        <rFont val="Calibri"/>
        <family val="2"/>
        <charset val="204"/>
        <scheme val="minor"/>
      </rPr>
      <t xml:space="preserve"> продавца построить и передать покупателю готовое к эксплуатации складское здание общей площадью 5 тыс кв.м., затраты на девелопмент – 220 млн руб. цена здания с участком – 60 тыс руб/кв.м. общей площади здание оплачивается в момент передачи готового здания. Определить </t>
    </r>
    <r>
      <rPr>
        <b/>
        <sz val="14"/>
        <color rgb="FFFF0000"/>
        <rFont val="Calibri"/>
        <family val="2"/>
        <charset val="204"/>
        <scheme val="minor"/>
      </rPr>
      <t>вклад</t>
    </r>
    <r>
      <rPr>
        <b/>
        <sz val="14"/>
        <color theme="1"/>
        <rFont val="Calibri"/>
        <family val="2"/>
        <charset val="204"/>
        <scheme val="minor"/>
      </rPr>
      <t xml:space="preserve"> в рыночную стоимость участка данного </t>
    </r>
    <r>
      <rPr>
        <b/>
        <sz val="14"/>
        <color rgb="FFFF0000"/>
        <rFont val="Calibri"/>
        <family val="2"/>
        <charset val="204"/>
        <scheme val="minor"/>
      </rPr>
      <t>обязательства*</t>
    </r>
    <r>
      <rPr>
        <b/>
        <sz val="14"/>
        <color theme="1"/>
        <rFont val="Calibri"/>
        <family val="2"/>
        <charset val="204"/>
        <scheme val="minor"/>
      </rPr>
      <t>, если известно, что в случае если бы здание было построено и предполагалось для сдачи в аренду, то затраты на девелопмент составили бы 200 млн руб, на момент ввода в эксплуатацию рыночная ставка аренды для него составила бы 6 тыс руб за кв. м/ год общей площади (все операционные расходы компенсируются арендатором дополнительно собственник расходов не несет) и склад выйдет стабилизированную загрузку в размере 95%. Рыночная ставка капитализации составляет 11%. Период строительства в обоих случаях-1,5 года, затраты несутся равномерно. Ставка дисконтирования инвестиционного периода- 20% годовых. Длительность одного периода модели – полгода, количество-3. Дисконтирование выполнять на конец периодов модели, результат округлить до сотен тысяч руб.</t>
    </r>
  </si>
  <si>
    <t>*Понятней звучит фраза: Определить вклад данного обязательства в рыночную стоимость участка</t>
  </si>
  <si>
    <t>Фактор для одного периода</t>
  </si>
  <si>
    <r>
      <t xml:space="preserve">3.2.3.14. Методом предполагаемого использования рассчитать рыночную стоимость земельного участка, предназначенного под строительство торгового центра. Полные затраты на создание объекта – 10 млн руб., срок строительства 2 года, </t>
    </r>
    <r>
      <rPr>
        <b/>
        <sz val="14"/>
        <color rgb="FFFF0000"/>
        <rFont val="Calibri"/>
        <family val="2"/>
        <charset val="204"/>
        <scheme val="minor"/>
      </rPr>
      <t>в начале первого</t>
    </r>
    <r>
      <rPr>
        <b/>
        <sz val="14"/>
        <color theme="1"/>
        <rFont val="Calibri"/>
        <family val="2"/>
        <charset val="204"/>
        <scheme val="minor"/>
      </rPr>
      <t xml:space="preserve"> и </t>
    </r>
    <r>
      <rPr>
        <b/>
        <sz val="14"/>
        <color rgb="FFFF0000"/>
        <rFont val="Calibri"/>
        <family val="2"/>
        <charset val="204"/>
        <scheme val="minor"/>
      </rPr>
      <t>в конце второго года</t>
    </r>
    <r>
      <rPr>
        <b/>
        <sz val="14"/>
        <color theme="1"/>
        <rFont val="Calibri"/>
        <family val="2"/>
        <charset val="204"/>
        <scheme val="minor"/>
      </rPr>
      <t xml:space="preserve"> строительства предполагается понести по 50% от величины полных затрат. Прогнозируемая выручка от продажи объекта на момент завершения строительства за вычетом затрат на продажу – 25 млн руб., требуемая рыночная норма доходности для подобных инвестиций 20 %. Денежные потоки дисконтировать </t>
    </r>
    <r>
      <rPr>
        <b/>
        <sz val="14"/>
        <color rgb="FFFF0000"/>
        <rFont val="Calibri"/>
        <family val="2"/>
        <charset val="204"/>
        <scheme val="minor"/>
      </rPr>
      <t>на начало периода</t>
    </r>
    <r>
      <rPr>
        <b/>
        <sz val="14"/>
        <color theme="1"/>
        <rFont val="Calibri"/>
        <family val="2"/>
        <charset val="204"/>
        <scheme val="minor"/>
      </rPr>
      <t>. Результат округлить до тысяч.</t>
    </r>
  </si>
  <si>
    <t>Аналог 3.2.3.6</t>
  </si>
  <si>
    <r>
      <t xml:space="preserve">3.2.3.21. Бизнес-центр общей площадью 5 000 кв.м, арендопригодная 4 000 кв.м. </t>
    </r>
    <r>
      <rPr>
        <b/>
        <sz val="14"/>
        <color rgb="FFFF0000"/>
        <rFont val="Calibri"/>
        <family val="2"/>
        <charset val="204"/>
        <scheme val="minor"/>
      </rPr>
      <t>45%</t>
    </r>
    <r>
      <rPr>
        <b/>
        <sz val="14"/>
        <color theme="1"/>
        <rFont val="Calibri"/>
        <family val="2"/>
        <charset val="204"/>
        <scheme val="minor"/>
      </rPr>
      <t xml:space="preserve"> площадей сданы на 99 лет якорному арендатору, ставки 10, 11, 13, 15 тыс. руб. в 1, 2, 3 и 4 год соответственно, далее не меняются. Вторая часть сдана по рыночной ставке 25 000 руб за кв. м в год, загрузка 90% (рыночная), дополнительно </t>
    </r>
    <r>
      <rPr>
        <b/>
        <sz val="14"/>
        <color rgb="FFFF0000"/>
        <rFont val="Calibri"/>
        <family val="2"/>
        <charset val="204"/>
        <scheme val="minor"/>
      </rPr>
      <t>все</t>
    </r>
    <r>
      <rPr>
        <b/>
        <sz val="14"/>
        <color theme="1"/>
        <rFont val="Calibri"/>
        <family val="2"/>
        <charset val="204"/>
        <scheme val="minor"/>
      </rPr>
      <t xml:space="preserve"> арендаторы компенсируют операционные расходы из расчета 5 500 руб за кв.м </t>
    </r>
    <r>
      <rPr>
        <b/>
        <sz val="14"/>
        <color rgb="FFFF0000"/>
        <rFont val="Calibri"/>
        <family val="2"/>
        <charset val="204"/>
        <scheme val="minor"/>
      </rPr>
      <t>арендуемой</t>
    </r>
    <r>
      <rPr>
        <b/>
        <sz val="14"/>
        <color theme="1"/>
        <rFont val="Calibri"/>
        <family val="2"/>
        <charset val="204"/>
        <scheme val="minor"/>
      </rPr>
      <t xml:space="preserve"> площади . Операционные расходы собственника составляют 8 000 руб за 1 кв.м </t>
    </r>
    <r>
      <rPr>
        <b/>
        <sz val="14"/>
        <color rgb="FFFF0000"/>
        <rFont val="Calibri"/>
        <family val="2"/>
        <charset val="204"/>
        <scheme val="minor"/>
      </rPr>
      <t>общей</t>
    </r>
    <r>
      <rPr>
        <b/>
        <sz val="14"/>
        <color theme="1"/>
        <rFont val="Calibri"/>
        <family val="2"/>
        <charset val="204"/>
        <scheme val="minor"/>
      </rPr>
      <t xml:space="preserve"> площади. Ставка дисконтирования 16%. Коэффициент капитализации для реверсии 11%. Период прогнозирования 3 года. Дисконтирование на конец периода. Результат округлить.</t>
    </r>
  </si>
  <si>
    <t>Арендопригодная площадь ВСЯ, кв.м.</t>
  </si>
  <si>
    <r>
      <rPr>
        <sz val="14"/>
        <color rgb="FFFF0000"/>
        <rFont val="Calibri"/>
        <family val="2"/>
        <charset val="204"/>
        <scheme val="minor"/>
      </rPr>
      <t>Арендопригодная = Арендуемая</t>
    </r>
    <r>
      <rPr>
        <sz val="14"/>
        <color theme="1"/>
        <rFont val="Calibri"/>
        <family val="2"/>
        <charset val="204"/>
        <scheme val="minor"/>
      </rPr>
      <t xml:space="preserve"> площадь</t>
    </r>
  </si>
  <si>
    <r>
      <rPr>
        <sz val="14"/>
        <color rgb="FFFF0000"/>
        <rFont val="Calibri"/>
        <family val="2"/>
        <charset val="204"/>
        <scheme val="minor"/>
      </rPr>
      <t>Арендопригодная</t>
    </r>
    <r>
      <rPr>
        <sz val="14"/>
        <color theme="1"/>
        <rFont val="Calibri"/>
        <family val="2"/>
        <charset val="204"/>
        <scheme val="minor"/>
      </rPr>
      <t xml:space="preserve"> площадь</t>
    </r>
  </si>
  <si>
    <r>
      <rPr>
        <sz val="14"/>
        <color rgb="FFFF0000"/>
        <rFont val="Calibri"/>
        <family val="2"/>
        <charset val="204"/>
        <scheme val="minor"/>
      </rPr>
      <t>Арендуемая</t>
    </r>
    <r>
      <rPr>
        <sz val="14"/>
        <color theme="1"/>
        <rFont val="Calibri"/>
        <family val="2"/>
        <charset val="204"/>
        <scheme val="minor"/>
      </rPr>
      <t xml:space="preserve"> площадь, кв.м.</t>
    </r>
  </si>
  <si>
    <r>
      <t xml:space="preserve">Компенсация ОР, кв.м. </t>
    </r>
    <r>
      <rPr>
        <sz val="14"/>
        <color rgb="FFFF0000"/>
        <rFont val="Calibri"/>
        <family val="2"/>
        <charset val="204"/>
        <scheme val="minor"/>
      </rPr>
      <t>арендуемой</t>
    </r>
  </si>
  <si>
    <r>
      <t xml:space="preserve">3.2.3.22. (4 балла). Рассчитать рыночную стоимость земельного участка, НЭИ которого заключается в строительстве офисного здания общей площадью 5 000 кв.м, арендопригодная площадь 4 000 кв.м. Известно, что затраты на строительство составят 380 млн. руб. и будут понесены в течение 2 лет равными долями, после чего объект будет введен в эксплуатацию. Потенциальный арендный доход для собственника составляет 25 000 руб. за кв.м арендопригодной площади в год (все расходы по эксплуатации и содержанию здания оплачивают имеющиеся арендаторы независимо от общей загрузки), в первый год эксплуатации загрузка составит 85%, начиная со следующего, стабилизируется на 90%. </t>
    </r>
    <r>
      <rPr>
        <b/>
        <sz val="14"/>
        <color rgb="FFFF0000"/>
        <rFont val="Calibri"/>
        <family val="2"/>
        <charset val="204"/>
        <scheme val="minor"/>
      </rPr>
      <t>В конце прогнозного периода объект будет продан за 115 000 рублей за 1 кв.м общей площади</t>
    </r>
    <r>
      <rPr>
        <b/>
        <sz val="14"/>
        <color theme="1"/>
        <rFont val="Calibri"/>
        <family val="2"/>
        <charset val="204"/>
        <scheme val="minor"/>
      </rPr>
      <t>. Все ценовые показатели сохраняются неизменными. Затраты на продажу и брокерскую комиссию за сдачу площадей в аренду не учитывать. Ставка дисконтирования операционного периода 17%, инвестиционного периода - 22%. Дисконтирование выполнять на конец периодов модели, период прогнозирования - 3 года, результат округлить до миллионов рублей.</t>
    </r>
  </si>
  <si>
    <r>
      <t xml:space="preserve">3.2.3.23. (4 балла). Рассчитать рыночную стоимость земельного участка, НЭИ которого заключается в строительстве офисного здания общей площадью 5 000 кв.м, арендопригодная площадь 4 000 кв.м. Известно, что затраты на строительство составят 380 млн. руб. и будут понесены в течение 2 лет равными долями, после чего объект будет введен в эксплуатацию. Потенциальный арендный доход для собственника составляет 25 000 руб. за кв.м арендопригодной площади в год (все расходы по эксплуатации и содержанию здания оплачивают имеющиеся арендаторы независимо от общей загрузки), в первый год эксплуатации </t>
    </r>
    <r>
      <rPr>
        <b/>
        <sz val="14"/>
        <color rgb="FFFF0000"/>
        <rFont val="Calibri"/>
        <family val="2"/>
        <charset val="204"/>
        <scheme val="minor"/>
      </rPr>
      <t>недо</t>
    </r>
    <r>
      <rPr>
        <b/>
        <sz val="14"/>
        <color theme="1"/>
        <rFont val="Calibri"/>
        <family val="2"/>
        <charset val="204"/>
        <scheme val="minor"/>
      </rPr>
      <t xml:space="preserve">загрузка составит 30%, начиная со следующего, стабилизируется на 10%. </t>
    </r>
    <r>
      <rPr>
        <b/>
        <sz val="14"/>
        <color rgb="FFFF0000"/>
        <rFont val="Calibri"/>
        <family val="2"/>
        <charset val="204"/>
        <scheme val="minor"/>
      </rPr>
      <t>В конце прогнозного периода объект будет продан за 115 000 рублей за 1 кв.м общей площади</t>
    </r>
    <r>
      <rPr>
        <b/>
        <sz val="14"/>
        <color theme="1"/>
        <rFont val="Calibri"/>
        <family val="2"/>
        <charset val="204"/>
        <scheme val="minor"/>
      </rPr>
      <t>. Все ценовые показатели сохраняются неизменными. Затраты на продажу и брокерскую комиссию за сдачу площадей в аренду не учитывать. Ставка дисконтирования операционного периода 17%, инвестиционного периода - 22%. Дисконтирование выполнять на конец периодов модели, период прогнозирования - 3 года, результат округлить до миллионов рублей.</t>
    </r>
  </si>
  <si>
    <r>
      <t xml:space="preserve">3.2.3.26. Рассчитать рыночную стоимость земельного участка, НЭИ которого заключается в строительстве офисного здания общей площадью 5 000 кв.м, арендопригодная площадь 4 000 кв.м. Известно, что затраты на строительство составят 380 млн руб. и будут понесены в течение 2 лет равными долями, после чего объект будет введен в эксплуатацию. Потенциальный арендный доход для собственника составляет 25 000 руб. за кв.м </t>
    </r>
    <r>
      <rPr>
        <b/>
        <sz val="14"/>
        <rFont val="Calibri"/>
        <family val="2"/>
        <charset val="204"/>
        <scheme val="minor"/>
      </rPr>
      <t>арендопригодной</t>
    </r>
    <r>
      <rPr>
        <b/>
        <sz val="14"/>
        <color theme="1"/>
        <rFont val="Calibri"/>
        <family val="2"/>
        <charset val="204"/>
        <scheme val="minor"/>
      </rPr>
      <t xml:space="preserve"> площади в год (все расходы по эксплуатации и содержанию здания оплачивают имеющиеся арендаторы независимо от общей загрузки), в первый год эксплуатации </t>
    </r>
    <r>
      <rPr>
        <b/>
        <sz val="14"/>
        <color rgb="FFFF0000"/>
        <rFont val="Calibri"/>
        <family val="2"/>
        <charset val="204"/>
        <scheme val="minor"/>
      </rPr>
      <t>загрузка</t>
    </r>
    <r>
      <rPr>
        <b/>
        <sz val="14"/>
        <color theme="1"/>
        <rFont val="Calibri"/>
        <family val="2"/>
        <charset val="204"/>
        <scheme val="minor"/>
      </rPr>
      <t xml:space="preserve"> составит 85%. В конце первого года эксплуатации </t>
    </r>
    <r>
      <rPr>
        <b/>
        <sz val="14"/>
        <color rgb="FFFF0000"/>
        <rFont val="Calibri"/>
        <family val="2"/>
        <charset val="204"/>
        <scheme val="minor"/>
      </rPr>
      <t>объект будет продан за 115 000 рублей за 1 кв.м общей площади</t>
    </r>
    <r>
      <rPr>
        <b/>
        <sz val="14"/>
        <color theme="1"/>
        <rFont val="Calibri"/>
        <family val="2"/>
        <charset val="204"/>
        <scheme val="minor"/>
      </rPr>
      <t>. Все ценовые показатели сохраняются неизменными. Затраты на продажу и брокерскую комиссию за сдачу площадей в аренду не учитывать. Ставка дисконтирования операционного периода 17%, инвестиционного периода - 22%. Дисконтирование выполнять на конец периодов модели, результат округлить до миллионов рублей.</t>
    </r>
  </si>
  <si>
    <r>
      <t xml:space="preserve">ДВД </t>
    </r>
    <r>
      <rPr>
        <b/>
        <sz val="14"/>
        <color rgb="FFFF0000"/>
        <rFont val="Calibri"/>
        <family val="2"/>
        <charset val="204"/>
        <scheme val="minor"/>
      </rPr>
      <t>в месяц</t>
    </r>
  </si>
  <si>
    <r>
      <t xml:space="preserve">ОР за кв.м. </t>
    </r>
    <r>
      <rPr>
        <b/>
        <sz val="14"/>
        <color rgb="FFFF0000"/>
        <rFont val="Calibri"/>
        <family val="2"/>
        <charset val="204"/>
        <scheme val="minor"/>
      </rPr>
      <t>в год</t>
    </r>
  </si>
  <si>
    <t>Числовой формат (единичку нажимать на в верхнем ряду клавиш, а не на цифровом блоке справа)</t>
  </si>
  <si>
    <r>
      <t xml:space="preserve">3.2.1.6. (4 балла). На земельном участке юридически и физически можно построить:
Вариант 1. офисное здание с общей площадью 6000 кв.м, арендопригодной площадью - 5000 кв.м, рыночная ставка аренды - 10000 руб./кв.м в год, стабилизированная загрузка 90%, совокупные операционные расходы, оплачиваемые собственником и капитальный резерв - 1500 руб./кв.м арендопригодной площади, рыночная ставка капитализации -12%, совокупные затраты на девелопмент и продажу здания - 30 тыс. руб./кв.м общей площади.
Вариант 2. жилой дом с общей площадью 6000 кв.м, продаваемой площадью 4500 кв.м, средняя цена продажи - 90 тыс. руб./кв.м продаваемой площади.
Определите все значения совокупных затрат на девелопмент жилого здания и продажу площадей в расчете на кв.м общей площади, для которых девелопмент </t>
    </r>
    <r>
      <rPr>
        <b/>
        <sz val="14"/>
        <color rgb="FFFF0000"/>
        <rFont val="Calibri"/>
        <family val="2"/>
        <charset val="204"/>
        <scheme val="minor"/>
      </rPr>
      <t>жилого</t>
    </r>
    <r>
      <rPr>
        <b/>
        <sz val="14"/>
        <color theme="1"/>
        <rFont val="Calibri"/>
        <family val="2"/>
        <charset val="204"/>
        <scheme val="minor"/>
      </rPr>
      <t xml:space="preserve"> здания будет являться </t>
    </r>
    <r>
      <rPr>
        <b/>
        <sz val="14"/>
        <color rgb="FF7030A0"/>
        <rFont val="Calibri"/>
        <family val="2"/>
        <charset val="204"/>
        <scheme val="minor"/>
      </rPr>
      <t>НЭИ рассматриваемого земельного участка</t>
    </r>
    <r>
      <rPr>
        <b/>
        <sz val="14"/>
        <color theme="1"/>
        <rFont val="Calibri"/>
        <family val="2"/>
        <charset val="204"/>
        <scheme val="minor"/>
      </rPr>
      <t>, если рыночная прибыль предпринимателя при девелопменте офисного здания составляет 20% от цены продажи здания, при девелопменте жилого здания - 25% от выручки от продажи. Предположить, что на момент продажи офисное здание имеет стабилизированную загрузку на рыночных условиях, а фактор разновременности денежных потоков учтен в прибыли предпринимателя Результат округлить до сотен рублей.</t>
    </r>
  </si>
  <si>
    <r>
      <t xml:space="preserve">Наиболее эффективное использование представляет собой физически возможное, юридически допустимое и финансово обоснованное использование объекта, </t>
    </r>
    <r>
      <rPr>
        <i/>
        <sz val="14"/>
        <color rgb="FFFF0000"/>
        <rFont val="Calibri"/>
        <family val="2"/>
        <charset val="204"/>
        <scheme val="minor"/>
      </rPr>
      <t>при котором стоимость объекта будет наибольшей</t>
    </r>
  </si>
  <si>
    <r>
      <t xml:space="preserve">&gt; Девелопмент (в расчете на 1 кв.м. </t>
    </r>
    <r>
      <rPr>
        <sz val="14"/>
        <color rgb="FFFF0000"/>
        <rFont val="Calibri"/>
        <family val="2"/>
        <charset val="204"/>
        <scheme val="minor"/>
      </rPr>
      <t>общей</t>
    </r>
    <r>
      <rPr>
        <sz val="14"/>
        <color theme="1"/>
        <rFont val="Calibri"/>
        <family val="2"/>
        <charset val="204"/>
        <scheme val="minor"/>
      </rPr>
      <t xml:space="preserve"> площади жилого дома)</t>
    </r>
  </si>
  <si>
    <t>ПВС резервуара на 2000 год</t>
  </si>
  <si>
    <t>ПВС понтона на 2010 год</t>
  </si>
  <si>
    <t>Срок службы резервуара, лет</t>
  </si>
  <si>
    <t>Срок службы понтона, лет</t>
  </si>
  <si>
    <t>Индекс 2000</t>
  </si>
  <si>
    <t>Решение</t>
  </si>
  <si>
    <t>ПВС резервуара на 2017 год</t>
  </si>
  <si>
    <t>ПВС понтона на 2017 год</t>
  </si>
  <si>
    <t>Возраст резервуара в 2017 году</t>
  </si>
  <si>
    <t>Возраст понтона в 2017 году</t>
  </si>
  <si>
    <t>Износ резервуара в 2017 году</t>
  </si>
  <si>
    <t>Износ понтона в 2017 году</t>
  </si>
  <si>
    <t>РС резервуара в 2017 году</t>
  </si>
  <si>
    <t>РС понтона в 2017 году</t>
  </si>
  <si>
    <t>Нормативный срок жизни, лет</t>
  </si>
  <si>
    <t>Эффективный возраст до ремонта, лет</t>
  </si>
  <si>
    <t>Объект проработает дольше на</t>
  </si>
  <si>
    <t>Эффективный возраст после ремонта</t>
  </si>
  <si>
    <t>Стоимость в 2010</t>
  </si>
  <si>
    <t>Стоимость в 2016</t>
  </si>
  <si>
    <t>Индекс повышения с 2010 по 2018</t>
  </si>
  <si>
    <t>Индекс 2010-2016</t>
  </si>
  <si>
    <t>Индекс 2010-2018</t>
  </si>
  <si>
    <t>Индекс 2016-2018</t>
  </si>
  <si>
    <t>Индекс 2016-2018 в процентах</t>
  </si>
  <si>
    <t>3.2.2.24. Для объекта оценки найден аналог, который продан 8 месяцев назад. На рынке обнаружен устойчивый рост цен по 2% в месяц. Определить поправку на дату продажи для данного аналога.</t>
  </si>
  <si>
    <t>Период, месяцев</t>
  </si>
  <si>
    <t>Ежемесячный рост</t>
  </si>
  <si>
    <t>Цена аналога 8 месяцев назад</t>
  </si>
  <si>
    <t>Цена аналога на дату оценки</t>
  </si>
  <si>
    <t>Корректировка на дату продажи</t>
  </si>
  <si>
    <t>3.2.2.25. Определить рыночную стоимость права аренды земельного участка площадью 1 га, категория – земли населенных пунктов, разрешенное использование – строительство торговых объектов. 
Для расчета предположить, что НЭИ для всех аналогов соответствует разрешенному использованию, корректировка на уторговывание 20%, корректировка на право аренды 20%, корректировка цены единицы сравнения – 1 га аналога, - на площадь при отклонении площади аналога от площади объекта на +/-15% составляет соответственно +/-10%. Значения прочих характеристик считать одинаковыми, веса использованных аналогов взять равными. Результат округлить до сотен тысяч.
Имеется следующая информация:</t>
  </si>
  <si>
    <t>Тип цены</t>
  </si>
  <si>
    <t>Права</t>
  </si>
  <si>
    <t>Аренда</t>
  </si>
  <si>
    <t>Собственность</t>
  </si>
  <si>
    <t>Строительство автозаправочной станции</t>
  </si>
  <si>
    <t>Строительство торгового центра</t>
  </si>
  <si>
    <t>Строительство торгово-развлекательного центра</t>
  </si>
  <si>
    <t>Вид права</t>
  </si>
  <si>
    <t>Если у ОО будет право собственности, то корректировка для аналога в аренде =1/0,8</t>
  </si>
  <si>
    <t>Отклонение от площади</t>
  </si>
  <si>
    <t>Отклонение ОА от ОО, а не наоборот</t>
  </si>
  <si>
    <t>РЕШЕНИЕ</t>
  </si>
  <si>
    <t>3.2.2.26. Для объекта оценки найден аналог, цена аналога 1,1 млн руб. Известно что скидка на торг 10%. Рассчитать цену аналога с учетом корректировки на торг и износ. Износ аналога 60%, объекта оценки 30%.</t>
  </si>
  <si>
    <t>Корректировка на износ</t>
  </si>
  <si>
    <t>Относительная стоимость</t>
  </si>
  <si>
    <t>Премия</t>
  </si>
  <si>
    <t>3.2.2.28. Определить валовый рентный мультипликатор для офисного помещения. Оценщик обнаружил следующую информацию:
1. офис в бизнес-центре, продан за 2 млн руб., потенциальный валовый доход 500 тыс. руб. в год, чистый операционный доход 300 тыс. руб. в год;
2. офис в административном здании, продан за 1,8 млн, руб., потенциальный валовый доход 450 тыс. руб. в год, чистый операционный доход 280 тыс. руб. в год;
3. помещение банка на 3 этаже торгового центра, продано за 2,8 млн руб., потенциальный валовый доход 650 тыс. руб. в год, действительный валовый доход 600 тыс. руб. в год, эксплуатационные расходы 150 тыс. руб. в год;
4. помещение магазина на 1 этаже жилого дома, продано за 2,4 млн руб., потенциальный валовый доход 450 тыс. руб. в год, чистый операционный доход 250 тыс. руб. в год.</t>
  </si>
  <si>
    <t>ОА4</t>
  </si>
  <si>
    <t>Цена продажи</t>
  </si>
  <si>
    <t>Использование</t>
  </si>
  <si>
    <t>Банк</t>
  </si>
  <si>
    <t>Магазин</t>
  </si>
  <si>
    <t>Банк - не офис</t>
  </si>
  <si>
    <t>Цена/ПВД</t>
  </si>
  <si>
    <t>Коэффициент загрузки</t>
  </si>
  <si>
    <t>Операционные расходы, руб./кв.м./год</t>
  </si>
  <si>
    <t>Операционные расходы, руб./год</t>
  </si>
  <si>
    <t>Потенциальный валовой доход, в мес</t>
  </si>
  <si>
    <t>ПВД, в год</t>
  </si>
  <si>
    <t>Дана загрузка, а не недозагрузка</t>
  </si>
  <si>
    <t>3.2.3.35. Как изменится рыночная стоимость объекта недвижимости, рассчитанная методом прямой капитализации, если ЧОД увеличится на 10%, а ставка капитализации снизится с 12% до 11%? Результат округлить до целых процентов.</t>
  </si>
  <si>
    <t>Увеличение ЧОД</t>
  </si>
  <si>
    <t>Ставка 1</t>
  </si>
  <si>
    <t>Ставка 2</t>
  </si>
  <si>
    <t>Рыночная стоимость 1</t>
  </si>
  <si>
    <t>Рыночная стоимость 2</t>
  </si>
  <si>
    <t>ЧОД 2</t>
  </si>
  <si>
    <t>Увеличенный ЧОД</t>
  </si>
  <si>
    <t>Изменение РС2 относительно РС1</t>
  </si>
  <si>
    <t>Приравниваем ЧОД к единице (можно использовать любое значение базового ЧОД)</t>
  </si>
  <si>
    <t>Методом подбора выбираем значение ставки капитализации, при котором расчетная стоимость офиса равна стоимости торгового, т.е. 20млн.р.</t>
  </si>
  <si>
    <t>В предложенных вариантах ответов выбираем тот, в котором верхняя граница диапазона будет 10%.</t>
  </si>
  <si>
    <t>Методом подбора найти значение, когда РС равна (близка) 20млн.р.</t>
  </si>
  <si>
    <t>В данном случае, если уменьшать СК, то РС офиса будет расти, т.е. офис будет НЭИ, что и нужно по условию задачи.</t>
  </si>
  <si>
    <r>
      <t xml:space="preserve">Значит при любых значениях ставки капитализации, меньших либо равных 10%, НЭИ будет офис - </t>
    </r>
    <r>
      <rPr>
        <b/>
        <i/>
        <sz val="14"/>
        <color theme="1"/>
        <rFont val="Calibri"/>
        <family val="2"/>
        <charset val="204"/>
        <scheme val="minor"/>
      </rPr>
      <t>это и есть ответ</t>
    </r>
    <r>
      <rPr>
        <i/>
        <sz val="14"/>
        <color theme="1"/>
        <rFont val="Calibri"/>
        <family val="2"/>
        <charset val="204"/>
        <scheme val="minor"/>
      </rPr>
      <t>.</t>
    </r>
  </si>
  <si>
    <t>Если по условию задачи НЭИ должен быть торговый объект, то тогда наоборот, выбрать диапазон, в котором ставки более 10%.</t>
  </si>
  <si>
    <t>3.2.3.37. Рассчитать потенциальный валовый доход, если рыночная стоимость объекта 11 000 000 рублей, ставка капитализации 0,12, операционные расходы и резерв на замещение составляют 30% от действительного валового дохода, уровень загрузки – 95%.</t>
  </si>
  <si>
    <t>ОР от ДВД</t>
  </si>
  <si>
    <t>РС = ЧОД/СК; ЧОД = РС*СК</t>
  </si>
  <si>
    <t>ЧОД = ДВД - ДВД*ОР% = ДВД*(1-ОР%); ДВД = ЧОД/(1-ОР%)</t>
  </si>
  <si>
    <t>ДВД = ПВД * Загрузка; ПВД = ДВД/Загрузка. Если будет дана недозагрузка, то будет ПВД = ДВД/(1-Недозагрузка)</t>
  </si>
  <si>
    <t>Год</t>
  </si>
  <si>
    <t>Рыночная ставка аренды (рост 6% в год)</t>
  </si>
  <si>
    <t>ПВД = ДВД (полностью сдано в аренду)</t>
  </si>
  <si>
    <t>Операционные расходы (рост 6% в год)</t>
  </si>
  <si>
    <t>Компенсация ОР</t>
  </si>
  <si>
    <t>Недозагрузка</t>
  </si>
  <si>
    <t>Ставка аренды якорей (рост 10% в год)</t>
  </si>
  <si>
    <t>ДВД рыночный</t>
  </si>
  <si>
    <t>ОР за вычетом компенсации</t>
  </si>
  <si>
    <t>Рыночная ставка на дату оценки</t>
  </si>
  <si>
    <t>Якорная ставка на 01.01.2016</t>
  </si>
  <si>
    <t>Третий год объект пустует, недозагрузка 100%</t>
  </si>
  <si>
    <t>Третий год компенсировать некому</t>
  </si>
  <si>
    <t>Считается как разница ОР собственника и компенсации ОР</t>
  </si>
  <si>
    <t>Третий год поток отрицательный: аренды нет, ОР - есть.</t>
  </si>
  <si>
    <t>ОР на 01.01.2016</t>
  </si>
  <si>
    <t>Косвенные издержки (от прямых затрат)</t>
  </si>
  <si>
    <t>Прибыль девелопера (от всех расходов)</t>
  </si>
  <si>
    <t>Все расходы на строительство</t>
  </si>
  <si>
    <r>
      <t>Прибыль девелопера (</t>
    </r>
    <r>
      <rPr>
        <sz val="14"/>
        <color rgb="FFFF0000"/>
        <rFont val="Calibri"/>
        <family val="2"/>
        <charset val="204"/>
        <scheme val="minor"/>
      </rPr>
      <t>от всех расходов</t>
    </r>
    <r>
      <rPr>
        <sz val="14"/>
        <color theme="1"/>
        <rFont val="Calibri"/>
        <family val="2"/>
        <charset val="204"/>
        <scheme val="minor"/>
      </rPr>
      <t>)</t>
    </r>
  </si>
  <si>
    <r>
      <t>ПП (</t>
    </r>
    <r>
      <rPr>
        <sz val="14"/>
        <color rgb="FFFF0000"/>
        <rFont val="Calibri"/>
        <family val="2"/>
        <charset val="204"/>
        <scheme val="minor"/>
      </rPr>
      <t>от совокупных затрат</t>
    </r>
    <r>
      <rPr>
        <sz val="14"/>
        <color theme="1"/>
        <rFont val="Calibri"/>
        <family val="2"/>
        <charset val="204"/>
        <scheme val="minor"/>
      </rPr>
      <t>)</t>
    </r>
  </si>
  <si>
    <t>Совокупные затраты = Расходы на строительство + ЗУ</t>
  </si>
  <si>
    <t>ПП = (Расходы на строительство + ЗУ) * 25%</t>
  </si>
  <si>
    <t>ЗУ = 2 000 000 - 1 320 000 - (1 320 000 + ЗУ) * 25%</t>
  </si>
  <si>
    <t>ЗУ = 2 000 000 - 1 320 000 - 330 000 - 0,25 ЗУ</t>
  </si>
  <si>
    <t>1,25 ЗУ = 350 000</t>
  </si>
  <si>
    <t>ЗУ = 280 000</t>
  </si>
  <si>
    <t>ПВД за кв.м.</t>
  </si>
  <si>
    <t>ОР за кв.м.</t>
  </si>
  <si>
    <t>"Все денежные потоки считать в начале периода", "Дисконтирование делать на начало периода"</t>
  </si>
  <si>
    <t>Начало постпрогнозного периода - это конец последнего прогнозного периода</t>
  </si>
  <si>
    <t>3.2.3.42. (4 балла). Решается вопрос о наилучшем использовании земельного участка. Сумма дисконтированных денежных потоков в предположении строительства торгового объекта составила 20 млн руб. Для анализа варианта строительства офисного здания предполагается осуществление затрат в течение 2 лет по 100 млн руб. ежегодно и продажа объекта сразу после завершения строительства. Доход от продажи определяется как результат прямой капитализации ожидаемого чистого операционного дохода, который составляет 30 млн руб. Для какого из указанных диапазонов ставок капитализации (всех значений из диапазона) наилучшим использованием данного земельного участка будет строительство офисного здания. Затраты на строительство дисконтировать на середину периода. Ставка дисконтирования 20%.</t>
  </si>
  <si>
    <r>
      <t xml:space="preserve">Значит при любых значениях ставки капитализации, меньших либо равных 11%, НЭИ будет офис - </t>
    </r>
    <r>
      <rPr>
        <b/>
        <i/>
        <sz val="14"/>
        <color theme="1"/>
        <rFont val="Calibri"/>
        <family val="2"/>
        <charset val="204"/>
        <scheme val="minor"/>
      </rPr>
      <t>это и есть ответ</t>
    </r>
    <r>
      <rPr>
        <i/>
        <sz val="14"/>
        <color theme="1"/>
        <rFont val="Calibri"/>
        <family val="2"/>
        <charset val="204"/>
        <scheme val="minor"/>
      </rPr>
      <t>.</t>
    </r>
  </si>
  <si>
    <t>В предложенных вариантах ответов выбираем тот, в котором верхняя граница диапазона будет 11%.</t>
  </si>
  <si>
    <t>Если по условию задачи НЭИ должен быть торговый объект, то тогда наоборот, выбрать диапазон, в котором ставки более 11%.</t>
  </si>
  <si>
    <t>Если ставка капитализации будет более 11%, то РС офисного здания будет нижа 20млн.р., и НЭИ станет торговый объект.</t>
  </si>
  <si>
    <t>Если ставка капитализации будет более 10%, то РС офисного здания будет нижа 20млн.р., и НЭИ станет торговый объект.</t>
  </si>
  <si>
    <t>Ставка аренды</t>
  </si>
  <si>
    <r>
      <t xml:space="preserve">ОР от </t>
    </r>
    <r>
      <rPr>
        <sz val="14"/>
        <color rgb="FFFF0000"/>
        <rFont val="Calibri"/>
        <family val="2"/>
        <charset val="204"/>
        <scheme val="minor"/>
      </rPr>
      <t>арендуемой</t>
    </r>
    <r>
      <rPr>
        <sz val="14"/>
        <color theme="1"/>
        <rFont val="Calibri"/>
        <family val="2"/>
        <charset val="204"/>
        <scheme val="minor"/>
      </rPr>
      <t xml:space="preserve"> площади</t>
    </r>
  </si>
  <si>
    <r>
      <t xml:space="preserve">ОР от </t>
    </r>
    <r>
      <rPr>
        <sz val="14"/>
        <color rgb="FFFF0000"/>
        <rFont val="Calibri"/>
        <family val="2"/>
        <charset val="204"/>
        <scheme val="minor"/>
      </rPr>
      <t>арендуемой</t>
    </r>
    <r>
      <rPr>
        <sz val="14"/>
        <color theme="1"/>
        <rFont val="Calibri"/>
        <family val="2"/>
        <charset val="204"/>
        <scheme val="minor"/>
      </rPr>
      <t xml:space="preserve"> площади, за кв.м.</t>
    </r>
  </si>
  <si>
    <t>Остаток кредита на конец 6-го года</t>
  </si>
  <si>
    <t>Безрисковая * срок экспозиции (в месяцах) / 12 месяцев</t>
  </si>
  <si>
    <r>
      <t xml:space="preserve">3.2.3.30. Рассчитать рыночную стоимость земельного участка, НЭИ которого заключается в строительстве офисного здания общая площадь которого 5000 кв.м, арендопригодная 4000 кв.м. Предполагается, что затраты на строительство в размере 100 млн рублей будут понесены </t>
    </r>
    <r>
      <rPr>
        <b/>
        <sz val="14"/>
        <rFont val="Calibri"/>
        <family val="2"/>
        <charset val="204"/>
        <scheme val="minor"/>
      </rPr>
      <t>в течение первых двух лет</t>
    </r>
    <r>
      <rPr>
        <b/>
        <sz val="14"/>
        <color theme="1"/>
        <rFont val="Calibri"/>
        <family val="2"/>
        <charset val="204"/>
        <scheme val="minor"/>
      </rPr>
      <t xml:space="preserve">, причём </t>
    </r>
    <r>
      <rPr>
        <b/>
        <sz val="14"/>
        <color rgb="FFFF0000"/>
        <rFont val="Calibri"/>
        <family val="2"/>
        <charset val="204"/>
        <scheme val="minor"/>
      </rPr>
      <t>в первый год в начале периода, во второй год в конце периода</t>
    </r>
    <r>
      <rPr>
        <b/>
        <sz val="14"/>
        <color theme="1"/>
        <rFont val="Calibri"/>
        <family val="2"/>
        <charset val="204"/>
        <scheme val="minor"/>
      </rPr>
      <t xml:space="preserve">. После этого объект будет сдан в аренду за 25 000 за кв.м (все расходы по эксплуатации и содержанию здания оплачивают арендаторы независимо от общей загрузки). В первый год эксплуатации загрузка составит 70%, а начиная со следующего стабилизируется на уровне 85%. Ставка терминальный капитализации составляет 10%, затраты на продажу и комиссию за брокерское обслуживание за сдачу площадей в аренду не учитывать. Ставка дисконтирования операционного периода составляет 16%, инвестиционного 20%. Дисконтирование выполнять </t>
    </r>
    <r>
      <rPr>
        <b/>
        <sz val="14"/>
        <color rgb="FFFF0000"/>
        <rFont val="Calibri"/>
        <family val="2"/>
        <charset val="204"/>
        <scheme val="minor"/>
      </rPr>
      <t>на начало периода</t>
    </r>
    <r>
      <rPr>
        <b/>
        <sz val="14"/>
        <color theme="1"/>
        <rFont val="Calibri"/>
        <family val="2"/>
        <charset val="204"/>
        <scheme val="minor"/>
      </rPr>
      <t>, период прогнозирования 3 года, результат округлить до миллионов рублей.</t>
    </r>
  </si>
  <si>
    <t>ЗУ = ЕОН - Расходы на строительство - ПП</t>
  </si>
  <si>
    <t>ЗУ = ЕОН - Расходы на строительство - (Расходы на строительство + ЗУ) * 25%</t>
  </si>
  <si>
    <t>Начало постпрогнозного периода = конец последнего прогнозного периода</t>
  </si>
  <si>
    <t>3.2.2.6.04. Определить рыночную стоимость объекта оценки: 1-х комн. квартира, в доме комфорт класса, в ВАО. Стадия строительства дома - введен в эксплуатацию. Общая площадь 60 кв.м, жилая площадь 41 кв.м. Разница между ценами сделок и ценами предложений составляет 5%. Для расчета удельной стоимости объекта скорректированные цены аналогов учитывайте с одинаковыми весами, корректировки применяйте последовательно. Результат расчета округлите до десятков тысяч рублей. Данные для расчета приведены ниже. Считать, что никакие другие корректировки, кроме перечисленных в Табл.1, не требуются.</t>
  </si>
  <si>
    <t>3.2.2.6.05. 4 балла.
Определить рыночную стоимость объекта оценки: 1-х комн. апартаменты, в доме бизнес класса, в ЮВАО. Стадия строительства дома - введен в эксплуатацию. Общая площадь 58 кв.м, жилая площадь 41 кв.м. Разница между ценами сделок и ценами предложений составляет 6%. Для расчета удельной стоимости объекта скорректированные цены аналогов учитывайте с одинаковыми весами, корректировки применяйте последовательно. Результат расчета округлите до десятков тысяч рублей. Данные для расчета приведены ниже. Считать, что никакие другие корректировки, кроме перечисленных в Табл.1, не требуются.</t>
  </si>
  <si>
    <t>Стоимость на 2010</t>
  </si>
  <si>
    <t>Стоимость на 2016</t>
  </si>
  <si>
    <r>
      <t xml:space="preserve">3.2.1.22. В 2010 году стоимость ОКС составляла 2 млн руб., в 2016 году стоимость ОКС составляла 2,5 млн руб. За период с 2010 по 2018 индекс </t>
    </r>
    <r>
      <rPr>
        <b/>
        <sz val="14"/>
        <color rgb="FFFF0000"/>
        <rFont val="Calibri"/>
        <family val="2"/>
        <charset val="204"/>
        <scheme val="minor"/>
      </rPr>
      <t>повышения стоимости</t>
    </r>
    <r>
      <rPr>
        <b/>
        <sz val="14"/>
        <color theme="1"/>
        <rFont val="Calibri"/>
        <family val="2"/>
        <charset val="204"/>
        <scheme val="minor"/>
      </rPr>
      <t xml:space="preserve"> 40%. Определить индекс повышения стоимости с 2016 до 2018.</t>
    </r>
  </si>
  <si>
    <t>3.2.1.21. Объект оценки - трубопровод. Срок жизни нормативный 25 лет. Хронологический возраст и эффективный возраст до момента проведения капремонта 10 лет. После капремонта оценщик определил что объект проработает дольше чем остаточный срок службы, на 4 года. Определить износ.</t>
  </si>
  <si>
    <r>
      <t>3.2.1.20. В 2000 году смонтирован резервуар стоимостью 100 млн.руб. В 2010 году резервуар был усовершенствован понтоном, стоимостью 20 млн.руб. Понтон был построен только для данного резервуара и перемещение в другое место не планируется. Срок службы резервуара 30 лет, понтона 25 лет. 
Индексы цен (</t>
    </r>
    <r>
      <rPr>
        <b/>
        <sz val="14"/>
        <color rgb="FFFF0000"/>
        <rFont val="Calibri"/>
        <family val="2"/>
        <charset val="204"/>
        <scheme val="minor"/>
      </rPr>
      <t>все от базы 2010 года</t>
    </r>
    <r>
      <rPr>
        <b/>
        <sz val="14"/>
        <color theme="1"/>
        <rFont val="Calibri"/>
        <family val="2"/>
        <charset val="204"/>
        <scheme val="minor"/>
      </rPr>
      <t>):
2000 - 0,6
2010 - 1,0
2017 - 1,3
Износ рассчитывается линейно. Определить стоимость объекта на 2017 год; округлить до миллионов рублей.</t>
    </r>
  </si>
  <si>
    <t xml:space="preserve">3.2.2.29. Рыночная стоимость объекта недвижимости на 01.01.2010 составляла 2000000, на 01.01.2016 стоимость стала 2500000, стоимость с 01.01.2010 по 01.01.2018 увеличилась на 40%. Определить на сколько процентов увеличилась стоимость с 01.01.16 по 01.01.18. </t>
  </si>
  <si>
    <r>
      <t xml:space="preserve">3.2.2.27. Определить рыночную стоимость права аренды земельного участка площадью 1 га, категория – земли населенных пунктов, разрешенное использование – строительство торговых объектов. 
Для расчета предположить, что НЭИ для всех аналогов соответствует разрешенному использованию, корректировка на уторговывание 20%, размер </t>
    </r>
    <r>
      <rPr>
        <b/>
        <sz val="14"/>
        <color rgb="FFFF0000"/>
        <rFont val="Calibri"/>
        <family val="2"/>
        <charset val="204"/>
        <scheme val="minor"/>
      </rPr>
      <t>премии</t>
    </r>
    <r>
      <rPr>
        <b/>
        <sz val="14"/>
        <color theme="1"/>
        <rFont val="Calibri"/>
        <family val="2"/>
        <charset val="204"/>
        <scheme val="minor"/>
      </rPr>
      <t xml:space="preserve"> на разницу права собственности и права аренды составляет 20%, корректировка цены единицы сравнения – 1 га аналога, - на площадь при разнице площадей более 15% составляет +/-10%. Значения прочих характеристик считать одинаковыми, веса использованных аналогов взять равными. Результат округлить до сотен тысяч.
Имеется следующая информация:</t>
    </r>
  </si>
  <si>
    <t>Или можно сразу =(1-30%)/(1-60%)</t>
  </si>
  <si>
    <r>
      <t xml:space="preserve">3.2.3.43. Рассчитать рыночную стоимость офисного здания методом дисконтирования денежных потоков. Общая площадь 100 кв. м. Здание сдано полностью в аренду в первый год (на условиях, отличных от рыночных) по ставке 12000 руб./ кв. м в год. Операционные расходы собственника составляют 3000 рублей в год за 1 кв. м от </t>
    </r>
    <r>
      <rPr>
        <b/>
        <sz val="14"/>
        <color rgb="FFFF0000"/>
        <rFont val="Calibri"/>
        <family val="2"/>
        <charset val="204"/>
        <scheme val="minor"/>
      </rPr>
      <t>арендуемой</t>
    </r>
    <r>
      <rPr>
        <b/>
        <sz val="14"/>
        <color theme="1"/>
        <rFont val="Calibri"/>
        <family val="2"/>
        <charset val="204"/>
        <scheme val="minor"/>
      </rPr>
      <t xml:space="preserve"> площади. Во второй год (терминальный) здание сдается по рыночной ставке 15000 руб./ кв. м в год. Рыночная загрузка 90%. Коэффициент капитализации 12%. Ставка дисконтирования 15%. Денежные потоки формируются на начало периода, дисконтировать на начало периода.</t>
    </r>
  </si>
  <si>
    <r>
      <t xml:space="preserve">3.2.3.41. Найти рыночную стоимость земельного участка, если известно, что в соответствии с НЭИ на нем будет построено административно-офисное здание площадью 110 кв.м. Период строительства 1 год. Стоимость строительства 1 100 000. Сразу после строительства здание будет сдано в аренду и начнет приносить терминальный доход в размере 10 000 рублей за кв.м. в год. Загрузка 90%. Операционные расходы 1000 рублей за кв.м. от </t>
    </r>
    <r>
      <rPr>
        <b/>
        <sz val="14"/>
        <color rgb="FFFF0000"/>
        <rFont val="Calibri"/>
        <family val="2"/>
        <charset val="204"/>
        <scheme val="minor"/>
      </rPr>
      <t>арендопригодной</t>
    </r>
    <r>
      <rPr>
        <b/>
        <sz val="14"/>
        <color theme="1"/>
        <rFont val="Calibri"/>
        <family val="2"/>
        <charset val="204"/>
        <scheme val="minor"/>
      </rPr>
      <t xml:space="preserve"> площади. Все денежные потоки считать в начале периода. Ставка капитализации 10%. Ставка дисконтирования 20%. Дисконтирование делать на начало периода. Результат округлить до десяти тысяч рублей. Прибыль предпринимателя не учитывать.</t>
    </r>
  </si>
  <si>
    <r>
      <t xml:space="preserve">3.2.3.40. (4 балла). Рассчитайте рыночную стоимость земельного участка методом остатка, если известно, что рыночная стоимость единого готового объекта недвижимости, который в соответствии с принципом НЭИ на нем целесообразно построить, составляет 2 000 000 руб., прямые затраты на строительство составляют 1 100 000 руб., косвенные издержки, </t>
    </r>
    <r>
      <rPr>
        <b/>
        <sz val="14"/>
        <color rgb="FFFF0000"/>
        <rFont val="Calibri"/>
        <family val="2"/>
        <charset val="204"/>
        <scheme val="minor"/>
      </rPr>
      <t>в том числе</t>
    </r>
    <r>
      <rPr>
        <b/>
        <sz val="14"/>
        <color theme="1"/>
        <rFont val="Calibri"/>
        <family val="2"/>
        <charset val="204"/>
        <scheme val="minor"/>
      </rPr>
      <t xml:space="preserve"> проценты по кредитам - 20% от величины прямых затрат на строительство, сумма кредита на покупку земельного участка равна 100 000 руб., среднерыночная прибыль девелопера при реализации подобных проектов - 25% </t>
    </r>
    <r>
      <rPr>
        <b/>
        <sz val="14"/>
        <color rgb="FFFF0000"/>
        <rFont val="Calibri"/>
        <family val="2"/>
        <charset val="204"/>
        <scheme val="minor"/>
      </rPr>
      <t>от совокупных затрат на создание единого объекта</t>
    </r>
    <r>
      <rPr>
        <b/>
        <sz val="14"/>
        <color theme="1"/>
        <rFont val="Calibri"/>
        <family val="2"/>
        <charset val="204"/>
        <scheme val="minor"/>
      </rPr>
      <t>. Ставка дисконтирования 16%, срок строительства 2 года. Результат округлить до тысяч рублей.</t>
    </r>
  </si>
  <si>
    <r>
      <t xml:space="preserve">3.2.3.39. Рассчитайте рыночную стоимость земельного участка методом остатка, если известно, что рыночная стоимость единого готового объекта недвижимости, который в соответствии с принципом НЭИ на нем целесообразно построить, составляет 2 000 000 руб., прямые затраты на строительство составляют 1 100 000 руб., косвенные издержки, </t>
    </r>
    <r>
      <rPr>
        <b/>
        <sz val="14"/>
        <color rgb="FFFF0000"/>
        <rFont val="Calibri"/>
        <family val="2"/>
        <charset val="204"/>
        <scheme val="minor"/>
      </rPr>
      <t>в том числе</t>
    </r>
    <r>
      <rPr>
        <b/>
        <sz val="14"/>
        <color theme="1"/>
        <rFont val="Calibri"/>
        <family val="2"/>
        <charset val="204"/>
        <scheme val="minor"/>
      </rPr>
      <t xml:space="preserve"> проценты по кредитам - 20% от величины прямых затрат на строительство, сумма кредита на покупку земельного участка равна 100 000 руб., среднерыночная прибыль девелопера при реализации подобных проектов - 25% от суммы всех </t>
    </r>
    <r>
      <rPr>
        <b/>
        <sz val="14"/>
        <color rgb="FFFF0000"/>
        <rFont val="Calibri"/>
        <family val="2"/>
        <charset val="204"/>
        <scheme val="minor"/>
      </rPr>
      <t>расходов на строительство</t>
    </r>
    <r>
      <rPr>
        <b/>
        <sz val="14"/>
        <color theme="1"/>
        <rFont val="Calibri"/>
        <family val="2"/>
        <charset val="204"/>
        <scheme val="minor"/>
      </rPr>
      <t>. Ставка дисконтирования 16%, срок строительства 2 года. Результат округлить до тысяч рублей.</t>
    </r>
  </si>
  <si>
    <t>3.2.3.38.</t>
  </si>
  <si>
    <r>
      <t xml:space="preserve">3.2.3.38. (4 балла). Определить рыночную стоимость здания по состоянию </t>
    </r>
    <r>
      <rPr>
        <b/>
        <sz val="14"/>
        <color rgb="FFFF0000"/>
        <rFont val="Calibri"/>
        <family val="2"/>
        <charset val="204"/>
        <scheme val="minor"/>
      </rPr>
      <t>на 01.01.2017</t>
    </r>
    <r>
      <rPr>
        <b/>
        <sz val="14"/>
        <color theme="1"/>
        <rFont val="Calibri"/>
        <family val="2"/>
        <charset val="204"/>
        <scheme val="minor"/>
      </rPr>
      <t xml:space="preserve">. Общая площадь 5000 кв.м, арендопригодная площадь 4800 кв.м. </t>
    </r>
    <r>
      <rPr>
        <b/>
        <u/>
        <sz val="14"/>
        <color rgb="FF7030A0"/>
        <rFont val="Calibri"/>
        <family val="2"/>
        <charset val="204"/>
        <scheme val="minor"/>
      </rPr>
      <t>01.01.2016</t>
    </r>
    <r>
      <rPr>
        <b/>
        <sz val="14"/>
        <color theme="1"/>
        <rFont val="Calibri"/>
        <family val="2"/>
        <charset val="204"/>
        <scheme val="minor"/>
      </rPr>
      <t xml:space="preserve"> здание полностью сдано в аренду на три года по ставке 3000 руб./кв.м арендопригодной площади в год. По условиям этого договора арендная ставка ежегодно индексируется на 10% в год. При этом рыночная ставка аренды </t>
    </r>
    <r>
      <rPr>
        <b/>
        <i/>
        <u/>
        <sz val="14"/>
        <color rgb="FF7030A0"/>
        <rFont val="Calibri"/>
        <family val="2"/>
        <charset val="204"/>
        <scheme val="minor"/>
      </rPr>
      <t>на дату оценки</t>
    </r>
    <r>
      <rPr>
        <b/>
        <sz val="14"/>
        <color theme="1"/>
        <rFont val="Calibri"/>
        <family val="2"/>
        <charset val="204"/>
        <scheme val="minor"/>
      </rPr>
      <t xml:space="preserve"> составляет 3500 руб./кв.м арендопригодной площади в год с ежегодной индексацией на 6% в год. Помимо арендных платежей арендаторы погашают собственнику 80% операционных расходов.  Фактические операционные расходы собственника составляют 1000 руб./кв.м общей площади в год </t>
    </r>
    <r>
      <rPr>
        <b/>
        <u/>
        <sz val="14"/>
        <color rgb="FF7030A0"/>
        <rFont val="Calibri"/>
        <family val="2"/>
        <charset val="204"/>
        <scheme val="minor"/>
      </rPr>
      <t>на дату 01.01.2016</t>
    </r>
    <r>
      <rPr>
        <b/>
        <sz val="14"/>
        <color theme="1"/>
        <rFont val="Calibri"/>
        <family val="2"/>
        <charset val="204"/>
        <scheme val="minor"/>
      </rPr>
      <t xml:space="preserve"> и индексируются по 6% в год. После окончания договора аренды </t>
    </r>
    <r>
      <rPr>
        <b/>
        <sz val="14"/>
        <color rgb="FFFF0000"/>
        <rFont val="Calibri"/>
        <family val="2"/>
        <charset val="204"/>
        <scheme val="minor"/>
      </rPr>
      <t>поиск новых арендаторов займет 12 месяцев</t>
    </r>
    <r>
      <rPr>
        <b/>
        <sz val="14"/>
        <color theme="1"/>
        <rFont val="Calibri"/>
        <family val="2"/>
        <charset val="204"/>
        <scheme val="minor"/>
      </rPr>
      <t xml:space="preserve">, и следующий договор аренды будет заключен по рыночной ставке, </t>
    </r>
    <r>
      <rPr>
        <b/>
        <sz val="14"/>
        <color rgb="FF7030A0"/>
        <rFont val="Calibri"/>
        <family val="2"/>
        <charset val="204"/>
        <scheme val="minor"/>
      </rPr>
      <t>с полным погашением операционных расходов за счет арендаторов, независимо от загрузки площадей</t>
    </r>
    <r>
      <rPr>
        <b/>
        <sz val="14"/>
        <color theme="1"/>
        <rFont val="Calibri"/>
        <family val="2"/>
        <charset val="204"/>
        <scheme val="minor"/>
      </rPr>
      <t>. Недозагрузка площадей стабилизируется на уровне 10%. Ставка терминальной капитализации составит 12%. Ставка дисконтирования 15%. Период прогнозирования предположить 3 года. Дисконтирование выполнять на конец периодов модели. Ответ округлить до миллионов.</t>
    </r>
  </si>
  <si>
    <r>
      <t xml:space="preserve">3.2.3.36. (4 балла). Решается вопрос о наилучшем использовании земельного участка. Сумма дисконтированных денежных потоков в предположении строительства торгового объекта составила 20 млн руб. Для анализа варианта строительства офисного здания предполагается осуществление затрат в течение 2 лет по 100 млн руб. ежегодно и продажа объекта сразу после завершения строительства. Доход от продажи определяется как результат прямой капитализации ожидаемого чистого операционного дохода, который составляет 25 млн руб. Для какого из указанных диапазонов ставок капитализации (всех значений из диапазона) наилучшим использованием данного земельного участка будет строительство </t>
    </r>
    <r>
      <rPr>
        <b/>
        <sz val="14"/>
        <color rgb="FFFF0000"/>
        <rFont val="Calibri"/>
        <family val="2"/>
        <charset val="204"/>
        <scheme val="minor"/>
      </rPr>
      <t>офисного</t>
    </r>
    <r>
      <rPr>
        <b/>
        <sz val="14"/>
        <color theme="1"/>
        <rFont val="Calibri"/>
        <family val="2"/>
        <charset val="204"/>
        <scheme val="minor"/>
      </rPr>
      <t xml:space="preserve"> здания. Затраты на строительство дисконтировать на конец периода. Ставка дисконтирования 20%.</t>
    </r>
  </si>
  <si>
    <r>
      <t xml:space="preserve">3.2.3.34. Определить рыночную стоимость объекта недвижимости, если потенциальный валовой доход составляет 100 000 рублей </t>
    </r>
    <r>
      <rPr>
        <b/>
        <sz val="14"/>
        <color rgb="FFFF0000"/>
        <rFont val="Calibri"/>
        <family val="2"/>
        <charset val="204"/>
        <scheme val="minor"/>
      </rPr>
      <t>в месяц</t>
    </r>
    <r>
      <rPr>
        <b/>
        <sz val="14"/>
        <color theme="1"/>
        <rFont val="Calibri"/>
        <family val="2"/>
        <charset val="204"/>
        <scheme val="minor"/>
      </rPr>
      <t xml:space="preserve">, коэффициент </t>
    </r>
    <r>
      <rPr>
        <b/>
        <sz val="14"/>
        <color rgb="FFFF0000"/>
        <rFont val="Calibri"/>
        <family val="2"/>
        <charset val="204"/>
        <scheme val="minor"/>
      </rPr>
      <t>загрузки</t>
    </r>
    <r>
      <rPr>
        <b/>
        <sz val="14"/>
        <color theme="1"/>
        <rFont val="Calibri"/>
        <family val="2"/>
        <charset val="204"/>
        <scheme val="minor"/>
      </rPr>
      <t xml:space="preserve"> 80%, величина операционных расходов и расходов на замещение составляет 1000 руб./кв.м общей площади </t>
    </r>
    <r>
      <rPr>
        <b/>
        <sz val="14"/>
        <color rgb="FFFF0000"/>
        <rFont val="Calibri"/>
        <family val="2"/>
        <charset val="204"/>
        <scheme val="minor"/>
      </rPr>
      <t>в год</t>
    </r>
    <r>
      <rPr>
        <b/>
        <sz val="14"/>
        <color theme="1"/>
        <rFont val="Calibri"/>
        <family val="2"/>
        <charset val="204"/>
        <scheme val="minor"/>
      </rPr>
      <t>, общая площадь - 100 кв.м, коэффициент капитализации - 10%.</t>
    </r>
  </si>
  <si>
    <t>3.2.3.33. Потенциальный валовой доход объекта недвижимости 40 млн рублей в год. Действительный валовой доход 36 млн рублей в год. Чистый операционный доход 24 млн рублей в год. Ставка дисконтирования 12%. Коэффициент капитализации 10%. Определить рыночную стоимость объекта недвижимости доходным подходом.</t>
  </si>
  <si>
    <r>
      <t xml:space="preserve">3.2.3.44. Найти рыночную стоимость земельного участка, если известно, что затраты на строительство объекта недвижимости будут понесены в течение 2 лет по 100 млн руб. ежегодно и продажа объекта сразу после завершения строительства. Доход от продажи определяется как результат прямой капитализации ожидаемого чистого операционного дохода, который составляет 30 млн руб. Ставка капитализации 10%. В период строительства дисконтировать </t>
    </r>
    <r>
      <rPr>
        <b/>
        <sz val="14"/>
        <color rgb="FFFF0000"/>
        <rFont val="Calibri"/>
        <family val="2"/>
        <charset val="204"/>
        <scheme val="minor"/>
      </rPr>
      <t>на середину периода</t>
    </r>
    <r>
      <rPr>
        <b/>
        <sz val="14"/>
        <color theme="1"/>
        <rFont val="Calibri"/>
        <family val="2"/>
        <charset val="204"/>
        <scheme val="minor"/>
      </rPr>
      <t>. Ставка дисконтирования 20%.</t>
    </r>
  </si>
  <si>
    <t>Расходы</t>
  </si>
  <si>
    <t>ЗУ - ЗУ = 0</t>
  </si>
  <si>
    <t>Подбором параметра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</si>
</sst>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0"/>
    <numFmt numFmtId="166" formatCode="#,##0.000"/>
    <numFmt numFmtId="167" formatCode="0.0000%"/>
    <numFmt numFmtId="168" formatCode="#,##0.00000"/>
    <numFmt numFmtId="169" formatCode="0.0%"/>
  </numFmts>
  <fonts count="22" x14ac:knownFonts="1">
    <font>
      <sz val="11"/>
      <color theme="1"/>
      <name val="Calibri"/>
      <family val="2"/>
      <charset val="204"/>
      <scheme val="minor"/>
    </font>
    <font>
      <sz val="11"/>
      <color theme="1"/>
      <name val="Calibri"/>
      <family val="2"/>
      <charset val="204"/>
      <scheme val="minor"/>
    </font>
    <font>
      <sz val="14"/>
      <color theme="1"/>
      <name val="Calibri"/>
      <family val="2"/>
      <charset val="204"/>
      <scheme val="minor"/>
    </font>
    <font>
      <sz val="14"/>
      <color rgb="FFFF0000"/>
      <name val="Calibri"/>
      <family val="2"/>
      <charset val="204"/>
      <scheme val="minor"/>
    </font>
    <font>
      <sz val="14"/>
      <color rgb="FF00B050"/>
      <name val="Calibri"/>
      <family val="2"/>
      <charset val="204"/>
      <scheme val="minor"/>
    </font>
    <font>
      <sz val="14"/>
      <color rgb="FF0070C0"/>
      <name val="Calibri"/>
      <family val="2"/>
      <charset val="204"/>
      <scheme val="minor"/>
    </font>
    <font>
      <sz val="9"/>
      <color indexed="81"/>
      <name val="Tahoma"/>
      <family val="2"/>
      <charset val="204"/>
    </font>
    <font>
      <b/>
      <sz val="9"/>
      <color indexed="81"/>
      <name val="Tahoma"/>
      <family val="2"/>
      <charset val="204"/>
    </font>
    <font>
      <b/>
      <sz val="14"/>
      <color theme="1"/>
      <name val="Calibri"/>
      <family val="2"/>
      <charset val="204"/>
      <scheme val="minor"/>
    </font>
    <font>
      <b/>
      <i/>
      <sz val="14"/>
      <color theme="1"/>
      <name val="Calibri"/>
      <family val="2"/>
      <charset val="204"/>
      <scheme val="minor"/>
    </font>
    <font>
      <b/>
      <sz val="14"/>
      <color rgb="FFFF0000"/>
      <name val="Calibri"/>
      <family val="2"/>
      <charset val="204"/>
      <scheme val="minor"/>
    </font>
    <font>
      <b/>
      <sz val="14"/>
      <color theme="4"/>
      <name val="Calibri"/>
      <family val="2"/>
      <charset val="204"/>
      <scheme val="minor"/>
    </font>
    <font>
      <b/>
      <sz val="14"/>
      <color rgb="FF7030A0"/>
      <name val="Calibri"/>
      <family val="2"/>
      <charset val="204"/>
      <scheme val="minor"/>
    </font>
    <font>
      <b/>
      <i/>
      <u/>
      <sz val="14"/>
      <color rgb="FF7030A0"/>
      <name val="Calibri"/>
      <family val="2"/>
      <charset val="204"/>
      <scheme val="minor"/>
    </font>
    <font>
      <i/>
      <sz val="14"/>
      <color theme="1"/>
      <name val="Calibri"/>
      <family val="2"/>
      <charset val="204"/>
      <scheme val="minor"/>
    </font>
    <font>
      <i/>
      <sz val="14"/>
      <color rgb="FFFF0000"/>
      <name val="Calibri"/>
      <family val="2"/>
      <charset val="204"/>
      <scheme val="minor"/>
    </font>
    <font>
      <i/>
      <sz val="14"/>
      <name val="Calibri"/>
      <family val="2"/>
      <charset val="204"/>
      <scheme val="minor"/>
    </font>
    <font>
      <b/>
      <i/>
      <sz val="14"/>
      <color rgb="FFFF0000"/>
      <name val="Calibri"/>
      <family val="2"/>
      <charset val="204"/>
      <scheme val="minor"/>
    </font>
    <font>
      <b/>
      <sz val="14"/>
      <color rgb="FF0070C0"/>
      <name val="Calibri"/>
      <family val="2"/>
      <charset val="204"/>
      <scheme val="minor"/>
    </font>
    <font>
      <b/>
      <sz val="14"/>
      <name val="Calibri"/>
      <family val="2"/>
      <charset val="204"/>
      <scheme val="minor"/>
    </font>
    <font>
      <b/>
      <sz val="14"/>
      <color rgb="FF00B050"/>
      <name val="Calibri"/>
      <family val="2"/>
      <charset val="204"/>
      <scheme val="minor"/>
    </font>
    <font>
      <b/>
      <u/>
      <sz val="14"/>
      <color rgb="FF7030A0"/>
      <name val="Calibri"/>
      <family val="2"/>
      <charset val="204"/>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right/>
      <top/>
      <bottom style="medium">
        <color indexed="64"/>
      </bottom>
      <diagonal/>
    </border>
    <border>
      <left/>
      <right style="thick">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69">
    <xf numFmtId="0" fontId="0" fillId="0" borderId="0" xfId="0"/>
    <xf numFmtId="4" fontId="2" fillId="0" borderId="0" xfId="0" applyNumberFormat="1" applyFont="1"/>
    <xf numFmtId="4" fontId="2" fillId="0" borderId="1" xfId="0" applyNumberFormat="1" applyFont="1" applyBorder="1"/>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9" fontId="2" fillId="0" borderId="1" xfId="1" applyFont="1" applyBorder="1"/>
    <xf numFmtId="4" fontId="3" fillId="0" borderId="1" xfId="0" applyNumberFormat="1" applyFont="1" applyBorder="1"/>
    <xf numFmtId="4" fontId="4" fillId="0" borderId="1" xfId="0" applyNumberFormat="1" applyFont="1" applyBorder="1"/>
    <xf numFmtId="4" fontId="5" fillId="0" borderId="1" xfId="0" applyNumberFormat="1" applyFont="1" applyBorder="1"/>
    <xf numFmtId="4" fontId="2" fillId="2" borderId="1" xfId="0" applyNumberFormat="1" applyFont="1" applyFill="1" applyBorder="1"/>
    <xf numFmtId="9" fontId="2" fillId="0" borderId="0" xfId="1" applyFont="1"/>
    <xf numFmtId="4" fontId="9" fillId="0" borderId="0" xfId="0" applyNumberFormat="1" applyFont="1"/>
    <xf numFmtId="3" fontId="2" fillId="0" borderId="1" xfId="0" applyNumberFormat="1" applyFont="1" applyBorder="1"/>
    <xf numFmtId="10" fontId="2" fillId="0" borderId="1" xfId="1" applyNumberFormat="1" applyFont="1" applyBorder="1"/>
    <xf numFmtId="4" fontId="9" fillId="0" borderId="1" xfId="0" applyNumberFormat="1" applyFont="1" applyBorder="1"/>
    <xf numFmtId="4" fontId="8" fillId="0" borderId="1" xfId="0" applyNumberFormat="1" applyFont="1" applyBorder="1"/>
    <xf numFmtId="3"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65" fontId="2" fillId="0" borderId="1" xfId="0" applyNumberFormat="1" applyFont="1" applyBorder="1"/>
    <xf numFmtId="4" fontId="2" fillId="0" borderId="1" xfId="0" applyNumberFormat="1" applyFont="1" applyBorder="1" applyAlignment="1">
      <alignment horizontal="center"/>
    </xf>
    <xf numFmtId="3" fontId="2" fillId="0" borderId="0" xfId="0" applyNumberFormat="1" applyFont="1"/>
    <xf numFmtId="4" fontId="2" fillId="0" borderId="0" xfId="0" applyNumberFormat="1" applyFont="1" applyAlignment="1">
      <alignment horizontal="center"/>
    </xf>
    <xf numFmtId="4" fontId="8" fillId="0" borderId="0" xfId="0" applyNumberFormat="1" applyFont="1"/>
    <xf numFmtId="4" fontId="2" fillId="0" borderId="7" xfId="0" applyNumberFormat="1" applyFont="1" applyBorder="1" applyAlignment="1">
      <alignment horizontal="center"/>
    </xf>
    <xf numFmtId="4" fontId="2" fillId="0" borderId="6" xfId="0" applyNumberFormat="1" applyFont="1" applyBorder="1" applyAlignment="1">
      <alignment horizontal="center"/>
    </xf>
    <xf numFmtId="4" fontId="2" fillId="0" borderId="5" xfId="0" applyNumberFormat="1" applyFont="1" applyBorder="1" applyAlignment="1">
      <alignment horizontal="center"/>
    </xf>
    <xf numFmtId="4" fontId="2" fillId="0" borderId="1" xfId="0" applyNumberFormat="1" applyFont="1" applyBorder="1" applyAlignment="1">
      <alignment vertical="center"/>
    </xf>
    <xf numFmtId="4" fontId="2" fillId="0" borderId="1" xfId="0" applyNumberFormat="1" applyFont="1" applyBorder="1" applyAlignment="1">
      <alignment vertical="center" wrapText="1"/>
    </xf>
    <xf numFmtId="4" fontId="2" fillId="0" borderId="1" xfId="0" applyNumberFormat="1" applyFont="1" applyBorder="1" applyAlignment="1">
      <alignment horizontal="right"/>
    </xf>
    <xf numFmtId="4" fontId="8" fillId="0" borderId="8" xfId="0" applyNumberFormat="1" applyFont="1" applyBorder="1" applyAlignment="1">
      <alignment horizontal="center"/>
    </xf>
    <xf numFmtId="4" fontId="8" fillId="0" borderId="9" xfId="0" applyNumberFormat="1" applyFont="1" applyBorder="1" applyAlignment="1">
      <alignment horizontal="center"/>
    </xf>
    <xf numFmtId="4" fontId="8" fillId="0" borderId="10" xfId="0" applyNumberFormat="1" applyFont="1" applyBorder="1" applyAlignment="1">
      <alignment horizontal="center"/>
    </xf>
    <xf numFmtId="4" fontId="2" fillId="0" borderId="11" xfId="0" applyNumberFormat="1" applyFont="1" applyBorder="1"/>
    <xf numFmtId="4" fontId="2" fillId="0" borderId="12" xfId="0" applyNumberFormat="1" applyFont="1" applyBorder="1" applyAlignment="1">
      <alignment horizontal="center"/>
    </xf>
    <xf numFmtId="4" fontId="2" fillId="0" borderId="13" xfId="0" applyNumberFormat="1" applyFont="1" applyBorder="1" applyAlignment="1">
      <alignment horizontal="center"/>
    </xf>
    <xf numFmtId="4" fontId="2" fillId="0" borderId="14" xfId="0" applyNumberFormat="1" applyFont="1" applyBorder="1"/>
    <xf numFmtId="3" fontId="2" fillId="0" borderId="15" xfId="0" applyNumberFormat="1" applyFont="1" applyBorder="1" applyAlignment="1">
      <alignment horizontal="center"/>
    </xf>
    <xf numFmtId="4" fontId="2" fillId="0" borderId="15" xfId="0" applyNumberFormat="1" applyFont="1" applyBorder="1" applyAlignment="1">
      <alignment horizontal="center"/>
    </xf>
    <xf numFmtId="4" fontId="2" fillId="0" borderId="15" xfId="0" applyNumberFormat="1" applyFont="1" applyBorder="1"/>
    <xf numFmtId="4" fontId="2" fillId="0" borderId="16" xfId="0" applyNumberFormat="1" applyFont="1" applyBorder="1"/>
    <xf numFmtId="4" fontId="2" fillId="0" borderId="17" xfId="0" applyNumberFormat="1" applyFont="1" applyBorder="1"/>
    <xf numFmtId="4" fontId="2" fillId="0" borderId="18" xfId="0" applyNumberFormat="1" applyFont="1" applyBorder="1"/>
    <xf numFmtId="4" fontId="2" fillId="0" borderId="8" xfId="0" applyNumberFormat="1" applyFont="1" applyBorder="1" applyAlignment="1">
      <alignment horizontal="center" vertical="center"/>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3" fontId="2" fillId="0" borderId="12" xfId="0" applyNumberFormat="1" applyFont="1" applyBorder="1" applyAlignment="1">
      <alignment horizontal="center"/>
    </xf>
    <xf numFmtId="3" fontId="2" fillId="0" borderId="13" xfId="0" applyNumberFormat="1" applyFont="1" applyBorder="1" applyAlignment="1">
      <alignment horizontal="center"/>
    </xf>
    <xf numFmtId="3" fontId="2" fillId="0" borderId="17" xfId="0" applyNumberFormat="1" applyFont="1" applyBorder="1" applyAlignment="1">
      <alignment horizontal="center"/>
    </xf>
    <xf numFmtId="3" fontId="2" fillId="0" borderId="18" xfId="0" applyNumberFormat="1" applyFont="1" applyBorder="1" applyAlignment="1">
      <alignment horizontal="center"/>
    </xf>
    <xf numFmtId="9" fontId="2" fillId="0" borderId="13" xfId="1" applyFont="1" applyBorder="1" applyAlignment="1">
      <alignment horizontal="center"/>
    </xf>
    <xf numFmtId="9" fontId="2" fillId="0" borderId="15" xfId="1" applyFont="1" applyBorder="1" applyAlignment="1">
      <alignment horizontal="center"/>
    </xf>
    <xf numFmtId="9" fontId="2" fillId="0" borderId="18" xfId="1" applyFont="1" applyBorder="1" applyAlignment="1">
      <alignment horizontal="center"/>
    </xf>
    <xf numFmtId="3" fontId="2" fillId="0" borderId="11" xfId="0" applyNumberFormat="1" applyFont="1" applyBorder="1" applyAlignment="1">
      <alignment horizontal="left"/>
    </xf>
    <xf numFmtId="3" fontId="2" fillId="0" borderId="14" xfId="0" applyNumberFormat="1" applyFont="1" applyBorder="1" applyAlignment="1">
      <alignment horizontal="left"/>
    </xf>
    <xf numFmtId="3" fontId="2" fillId="0" borderId="16" xfId="0" applyNumberFormat="1" applyFont="1" applyBorder="1" applyAlignment="1">
      <alignment horizontal="left"/>
    </xf>
    <xf numFmtId="4" fontId="8" fillId="0" borderId="19" xfId="0" applyNumberFormat="1" applyFont="1" applyBorder="1" applyAlignment="1">
      <alignment horizontal="center"/>
    </xf>
    <xf numFmtId="4" fontId="8" fillId="0" borderId="20" xfId="0" applyNumberFormat="1" applyFont="1" applyBorder="1" applyAlignment="1">
      <alignment horizontal="center"/>
    </xf>
    <xf numFmtId="4" fontId="8" fillId="0" borderId="21" xfId="0" applyNumberFormat="1" applyFont="1" applyBorder="1" applyAlignment="1">
      <alignment horizontal="center"/>
    </xf>
    <xf numFmtId="4" fontId="8" fillId="0" borderId="22" xfId="0" applyNumberFormat="1" applyFont="1" applyBorder="1"/>
    <xf numFmtId="4" fontId="2" fillId="0" borderId="23" xfId="0" applyNumberFormat="1" applyFont="1" applyBorder="1" applyAlignment="1">
      <alignment horizontal="center" vertical="center"/>
    </xf>
    <xf numFmtId="9" fontId="2" fillId="0" borderId="23" xfId="1" applyFont="1" applyBorder="1" applyAlignment="1">
      <alignment horizontal="center" vertical="center"/>
    </xf>
    <xf numFmtId="9" fontId="2" fillId="0" borderId="24" xfId="1" applyFont="1" applyBorder="1" applyAlignment="1">
      <alignment horizontal="center" vertical="center"/>
    </xf>
    <xf numFmtId="4" fontId="2" fillId="0" borderId="14" xfId="0" applyNumberFormat="1" applyFont="1" applyBorder="1" applyAlignment="1">
      <alignment horizontal="right"/>
    </xf>
    <xf numFmtId="4" fontId="8" fillId="0" borderId="1" xfId="0" applyNumberFormat="1" applyFont="1" applyBorder="1" applyAlignment="1">
      <alignment horizontal="center" vertical="center"/>
    </xf>
    <xf numFmtId="4" fontId="8" fillId="2" borderId="1" xfId="0" applyNumberFormat="1" applyFont="1" applyFill="1" applyBorder="1" applyAlignment="1">
      <alignment horizontal="center" vertical="center"/>
    </xf>
    <xf numFmtId="4" fontId="8" fillId="2" borderId="15" xfId="0" applyNumberFormat="1" applyFont="1" applyFill="1" applyBorder="1" applyAlignment="1">
      <alignment horizontal="center" vertical="center"/>
    </xf>
    <xf numFmtId="4" fontId="8" fillId="0" borderId="14" xfId="0" applyNumberFormat="1" applyFont="1" applyBorder="1"/>
    <xf numFmtId="4" fontId="2" fillId="0" borderId="15" xfId="0" applyNumberFormat="1" applyFont="1" applyBorder="1" applyAlignment="1">
      <alignment horizontal="center" vertical="center"/>
    </xf>
    <xf numFmtId="4" fontId="2" fillId="0" borderId="0" xfId="0" applyNumberFormat="1" applyFont="1" applyAlignment="1">
      <alignment horizontal="right"/>
    </xf>
    <xf numFmtId="3" fontId="2" fillId="0" borderId="15" xfId="0" applyNumberFormat="1" applyFont="1" applyBorder="1" applyAlignment="1">
      <alignment horizontal="center" vertical="center"/>
    </xf>
    <xf numFmtId="166" fontId="2" fillId="0" borderId="0" xfId="0" applyNumberFormat="1" applyFont="1"/>
    <xf numFmtId="1" fontId="2" fillId="0" borderId="1" xfId="0" applyNumberFormat="1" applyFont="1" applyBorder="1"/>
    <xf numFmtId="4" fontId="2" fillId="0" borderId="1" xfId="0" applyNumberFormat="1" applyFont="1" applyBorder="1" applyAlignment="1">
      <alignment wrapText="1"/>
    </xf>
    <xf numFmtId="1" fontId="2" fillId="0" borderId="1" xfId="0" applyNumberFormat="1" applyFont="1" applyBorder="1" applyAlignment="1">
      <alignment horizontal="center"/>
    </xf>
    <xf numFmtId="4" fontId="2" fillId="2" borderId="1" xfId="0" applyNumberFormat="1" applyFont="1" applyFill="1" applyBorder="1" applyAlignment="1">
      <alignment horizontal="center"/>
    </xf>
    <xf numFmtId="4"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xf>
    <xf numFmtId="165" fontId="8" fillId="0" borderId="1" xfId="0" applyNumberFormat="1" applyFont="1" applyBorder="1"/>
    <xf numFmtId="9" fontId="2" fillId="0" borderId="1" xfId="1" applyFont="1" applyBorder="1" applyAlignment="1">
      <alignment horizontal="center"/>
    </xf>
    <xf numFmtId="10" fontId="2" fillId="0" borderId="1" xfId="1" applyNumberFormat="1" applyFont="1" applyBorder="1" applyAlignment="1">
      <alignment horizontal="center"/>
    </xf>
    <xf numFmtId="4" fontId="8" fillId="4" borderId="0" xfId="0" applyNumberFormat="1" applyFont="1" applyFill="1"/>
    <xf numFmtId="10" fontId="2" fillId="4" borderId="1" xfId="1" applyNumberFormat="1" applyFont="1" applyFill="1" applyBorder="1" applyAlignment="1">
      <alignment horizontal="center"/>
    </xf>
    <xf numFmtId="4" fontId="8" fillId="4" borderId="1" xfId="0" applyNumberFormat="1" applyFont="1" applyFill="1" applyBorder="1"/>
    <xf numFmtId="4" fontId="2" fillId="4" borderId="0" xfId="0" applyNumberFormat="1" applyFont="1" applyFill="1"/>
    <xf numFmtId="4" fontId="2" fillId="4" borderId="1" xfId="0" applyNumberFormat="1" applyFont="1" applyFill="1" applyBorder="1"/>
    <xf numFmtId="10" fontId="8" fillId="4" borderId="1" xfId="1" applyNumberFormat="1" applyFont="1" applyFill="1" applyBorder="1"/>
    <xf numFmtId="4" fontId="8" fillId="4" borderId="17" xfId="0" applyNumberFormat="1" applyFont="1" applyFill="1" applyBorder="1"/>
    <xf numFmtId="4" fontId="2" fillId="5" borderId="1" xfId="0" applyNumberFormat="1" applyFont="1" applyFill="1" applyBorder="1"/>
    <xf numFmtId="4" fontId="8" fillId="5" borderId="1" xfId="0" applyNumberFormat="1" applyFont="1" applyFill="1" applyBorder="1"/>
    <xf numFmtId="10" fontId="8" fillId="4" borderId="0" xfId="1" applyNumberFormat="1" applyFont="1" applyFill="1"/>
    <xf numFmtId="4" fontId="14" fillId="0" borderId="0" xfId="0" applyNumberFormat="1" applyFont="1"/>
    <xf numFmtId="165" fontId="8" fillId="0" borderId="1" xfId="0" applyNumberFormat="1" applyFont="1" applyBorder="1" applyAlignment="1">
      <alignment horizontal="center"/>
    </xf>
    <xf numFmtId="165" fontId="2" fillId="0" borderId="1" xfId="0" applyNumberFormat="1" applyFont="1" applyBorder="1" applyAlignment="1">
      <alignment horizontal="center"/>
    </xf>
    <xf numFmtId="167" fontId="8" fillId="0" borderId="1" xfId="1" applyNumberFormat="1" applyFont="1" applyBorder="1" applyAlignment="1">
      <alignment horizontal="center"/>
    </xf>
    <xf numFmtId="166" fontId="8" fillId="2" borderId="15" xfId="0" applyNumberFormat="1" applyFont="1" applyFill="1" applyBorder="1" applyAlignment="1">
      <alignment horizontal="center" vertical="center"/>
    </xf>
    <xf numFmtId="9" fontId="2" fillId="0" borderId="1" xfId="0" applyNumberFormat="1" applyFont="1" applyBorder="1"/>
    <xf numFmtId="3" fontId="2" fillId="0" borderId="0" xfId="0" applyNumberFormat="1" applyFont="1" applyAlignment="1">
      <alignment vertical="center"/>
    </xf>
    <xf numFmtId="3" fontId="2" fillId="0" borderId="1" xfId="1" applyNumberFormat="1" applyFont="1" applyBorder="1"/>
    <xf numFmtId="4" fontId="2" fillId="0" borderId="0" xfId="0" applyNumberFormat="1" applyFont="1" applyAlignment="1">
      <alignment horizontal="center" vertical="center" wrapText="1"/>
    </xf>
    <xf numFmtId="166" fontId="2" fillId="2" borderId="0" xfId="0" applyNumberFormat="1" applyFont="1" applyFill="1"/>
    <xf numFmtId="3" fontId="2" fillId="4" borderId="1" xfId="0" applyNumberFormat="1" applyFont="1" applyFill="1" applyBorder="1"/>
    <xf numFmtId="4" fontId="2" fillId="0" borderId="26" xfId="0" applyNumberFormat="1" applyFont="1" applyBorder="1" applyAlignment="1">
      <alignment horizontal="center"/>
    </xf>
    <xf numFmtId="4" fontId="2" fillId="0" borderId="27" xfId="0" applyNumberFormat="1" applyFont="1" applyBorder="1" applyAlignment="1">
      <alignment horizontal="center"/>
    </xf>
    <xf numFmtId="4" fontId="2" fillId="0" borderId="28" xfId="0" applyNumberFormat="1" applyFont="1" applyBorder="1"/>
    <xf numFmtId="4" fontId="8" fillId="0" borderId="28" xfId="0" applyNumberFormat="1" applyFont="1" applyBorder="1"/>
    <xf numFmtId="4" fontId="2" fillId="0" borderId="28" xfId="0" applyNumberFormat="1" applyFont="1" applyBorder="1" applyAlignment="1">
      <alignment horizontal="center"/>
    </xf>
    <xf numFmtId="4" fontId="2" fillId="0" borderId="29" xfId="0" applyNumberFormat="1" applyFont="1" applyBorder="1" applyAlignment="1">
      <alignment horizontal="center"/>
    </xf>
    <xf numFmtId="4" fontId="2" fillId="0" borderId="30" xfId="0" applyNumberFormat="1" applyFont="1" applyBorder="1" applyAlignment="1">
      <alignment horizontal="center"/>
    </xf>
    <xf numFmtId="4" fontId="2" fillId="0" borderId="25" xfId="0" applyNumberFormat="1" applyFont="1" applyBorder="1"/>
    <xf numFmtId="4" fontId="2" fillId="0" borderId="25" xfId="0" applyNumberFormat="1" applyFont="1" applyBorder="1" applyAlignment="1">
      <alignment horizontal="center"/>
    </xf>
    <xf numFmtId="4" fontId="2" fillId="0" borderId="31" xfId="0" applyNumberFormat="1" applyFont="1" applyBorder="1"/>
    <xf numFmtId="4" fontId="15" fillId="0" borderId="0" xfId="0" applyNumberFormat="1" applyFont="1"/>
    <xf numFmtId="4" fontId="8" fillId="2" borderId="1" xfId="0" applyNumberFormat="1" applyFont="1" applyFill="1" applyBorder="1"/>
    <xf numFmtId="4" fontId="3" fillId="0" borderId="0" xfId="0" applyNumberFormat="1" applyFont="1"/>
    <xf numFmtId="168" fontId="2" fillId="0" borderId="1" xfId="0" applyNumberFormat="1" applyFont="1" applyBorder="1"/>
    <xf numFmtId="10" fontId="8" fillId="4" borderId="0" xfId="0" applyNumberFormat="1" applyFont="1" applyFill="1"/>
    <xf numFmtId="4" fontId="17" fillId="0" borderId="0" xfId="0" applyNumberFormat="1" applyFont="1"/>
    <xf numFmtId="9" fontId="8" fillId="4" borderId="1" xfId="1" applyFont="1" applyFill="1" applyBorder="1"/>
    <xf numFmtId="0" fontId="2" fillId="0" borderId="0" xfId="0" applyFont="1"/>
    <xf numFmtId="0" fontId="14" fillId="0" borderId="0" xfId="0" applyFont="1"/>
    <xf numFmtId="9" fontId="2" fillId="0" borderId="0" xfId="0" applyNumberFormat="1" applyFont="1"/>
    <xf numFmtId="0" fontId="2" fillId="0" borderId="1" xfId="0" applyFont="1" applyBorder="1" applyAlignment="1">
      <alignment horizontal="center"/>
    </xf>
    <xf numFmtId="14" fontId="2" fillId="0" borderId="1" xfId="0" applyNumberFormat="1" applyFont="1" applyBorder="1" applyAlignment="1">
      <alignment horizontal="center"/>
    </xf>
    <xf numFmtId="0" fontId="2" fillId="4" borderId="1" xfId="0" applyFont="1" applyFill="1" applyBorder="1" applyAlignment="1">
      <alignment horizontal="center"/>
    </xf>
    <xf numFmtId="9" fontId="14" fillId="0" borderId="0" xfId="0" applyNumberFormat="1" applyFont="1"/>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4" fontId="2" fillId="5" borderId="11" xfId="0" applyNumberFormat="1" applyFont="1" applyFill="1" applyBorder="1"/>
    <xf numFmtId="4" fontId="2" fillId="5" borderId="14" xfId="0" applyNumberFormat="1" applyFont="1" applyFill="1" applyBorder="1"/>
    <xf numFmtId="4" fontId="2" fillId="5" borderId="16" xfId="0" applyNumberFormat="1" applyFont="1" applyFill="1" applyBorder="1"/>
    <xf numFmtId="4" fontId="10" fillId="2" borderId="0" xfId="0" applyNumberFormat="1" applyFont="1" applyFill="1"/>
    <xf numFmtId="4" fontId="3"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xf>
    <xf numFmtId="10" fontId="10" fillId="0" borderId="1" xfId="1" applyNumberFormat="1" applyFont="1" applyBorder="1"/>
    <xf numFmtId="164" fontId="3" fillId="0" borderId="1" xfId="0" applyNumberFormat="1" applyFont="1" applyBorder="1" applyAlignment="1">
      <alignment horizontal="center"/>
    </xf>
    <xf numFmtId="9" fontId="3" fillId="0" borderId="1" xfId="1" applyFont="1" applyBorder="1"/>
    <xf numFmtId="167" fontId="3" fillId="0" borderId="0" xfId="0" applyNumberFormat="1" applyFont="1"/>
    <xf numFmtId="4" fontId="2" fillId="0" borderId="0" xfId="0" applyNumberFormat="1" applyFont="1" applyAlignment="1">
      <alignment vertical="top"/>
    </xf>
    <xf numFmtId="10" fontId="2" fillId="0" borderId="1" xfId="0" applyNumberFormat="1" applyFont="1" applyBorder="1"/>
    <xf numFmtId="10" fontId="8" fillId="4" borderId="1" xfId="0" applyNumberFormat="1" applyFont="1" applyFill="1" applyBorder="1"/>
    <xf numFmtId="9" fontId="8" fillId="4" borderId="1" xfId="0" applyNumberFormat="1" applyFont="1" applyFill="1" applyBorder="1"/>
    <xf numFmtId="9" fontId="2" fillId="0" borderId="1" xfId="0" applyNumberFormat="1" applyFont="1" applyBorder="1" applyAlignment="1">
      <alignment horizontal="center"/>
    </xf>
    <xf numFmtId="4" fontId="8" fillId="4" borderId="1" xfId="0" applyNumberFormat="1" applyFont="1" applyFill="1" applyBorder="1" applyAlignment="1">
      <alignment horizontal="center"/>
    </xf>
    <xf numFmtId="4" fontId="14" fillId="0" borderId="1" xfId="0" applyNumberFormat="1" applyFont="1" applyBorder="1"/>
    <xf numFmtId="4" fontId="3" fillId="0" borderId="1" xfId="0" applyNumberFormat="1" applyFont="1" applyBorder="1" applyAlignment="1">
      <alignment horizontal="center"/>
    </xf>
    <xf numFmtId="169" fontId="10" fillId="2" borderId="1" xfId="0" applyNumberFormat="1" applyFont="1" applyFill="1" applyBorder="1" applyAlignment="1">
      <alignment horizontal="center"/>
    </xf>
    <xf numFmtId="4" fontId="8" fillId="0" borderId="1" xfId="0" applyNumberFormat="1" applyFont="1" applyBorder="1" applyAlignment="1">
      <alignment horizontal="center"/>
    </xf>
    <xf numFmtId="1" fontId="2" fillId="0" borderId="0" xfId="0" applyNumberFormat="1" applyFont="1"/>
    <xf numFmtId="165" fontId="8" fillId="2" borderId="1" xfId="0" applyNumberFormat="1" applyFont="1" applyFill="1" applyBorder="1" applyAlignment="1">
      <alignment horizontal="center" vertical="center"/>
    </xf>
    <xf numFmtId="165" fontId="8" fillId="2" borderId="15" xfId="0" applyNumberFormat="1" applyFont="1" applyFill="1" applyBorder="1" applyAlignment="1">
      <alignment horizontal="center" vertical="center"/>
    </xf>
    <xf numFmtId="165" fontId="8" fillId="4" borderId="15"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168" fontId="3" fillId="2" borderId="1" xfId="0" applyNumberFormat="1" applyFont="1" applyFill="1" applyBorder="1" applyAlignment="1">
      <alignment horizontal="center" vertical="center"/>
    </xf>
    <xf numFmtId="168" fontId="2" fillId="0" borderId="1" xfId="0" applyNumberFormat="1" applyFont="1" applyBorder="1" applyAlignment="1">
      <alignment horizontal="center" vertical="center"/>
    </xf>
    <xf numFmtId="168" fontId="2" fillId="0" borderId="15" xfId="0" applyNumberFormat="1" applyFont="1" applyBorder="1" applyAlignment="1">
      <alignment horizontal="center" vertical="center"/>
    </xf>
    <xf numFmtId="9" fontId="3" fillId="0" borderId="1" xfId="0" applyNumberFormat="1" applyFont="1" applyBorder="1" applyAlignment="1">
      <alignment horizontal="center"/>
    </xf>
    <xf numFmtId="1" fontId="2" fillId="0" borderId="0" xfId="2" applyNumberFormat="1" applyFont="1" applyAlignment="1">
      <alignment horizontal="center"/>
    </xf>
    <xf numFmtId="4" fontId="8" fillId="0" borderId="1" xfId="0" applyNumberFormat="1" applyFont="1" applyBorder="1" applyAlignment="1">
      <alignment vertical="center"/>
    </xf>
    <xf numFmtId="9" fontId="10" fillId="2" borderId="1" xfId="0" applyNumberFormat="1" applyFont="1" applyFill="1" applyBorder="1" applyAlignment="1">
      <alignment horizontal="center"/>
    </xf>
    <xf numFmtId="10" fontId="2" fillId="0" borderId="1" xfId="0" applyNumberFormat="1" applyFont="1" applyBorder="1" applyAlignment="1">
      <alignment horizontal="center"/>
    </xf>
    <xf numFmtId="4" fontId="14" fillId="0" borderId="0" xfId="0" applyNumberFormat="1" applyFont="1" applyAlignment="1">
      <alignment horizontal="left" wrapText="1"/>
    </xf>
    <xf numFmtId="4" fontId="8" fillId="3" borderId="2" xfId="0" applyNumberFormat="1" applyFont="1" applyFill="1" applyBorder="1" applyAlignment="1">
      <alignment horizontal="left" vertical="center" wrapText="1"/>
    </xf>
    <xf numFmtId="4" fontId="8" fillId="3" borderId="3" xfId="0" applyNumberFormat="1" applyFont="1" applyFill="1" applyBorder="1" applyAlignment="1">
      <alignment horizontal="left" vertical="center" wrapText="1"/>
    </xf>
    <xf numFmtId="4" fontId="8" fillId="3" borderId="4" xfId="0" applyNumberFormat="1" applyFont="1" applyFill="1" applyBorder="1" applyAlignment="1">
      <alignment horizontal="left" vertical="center" wrapText="1"/>
    </xf>
    <xf numFmtId="4" fontId="2" fillId="0" borderId="1" xfId="0" applyNumberFormat="1" applyFont="1" applyBorder="1" applyAlignment="1">
      <alignment horizontal="left"/>
    </xf>
    <xf numFmtId="4" fontId="2" fillId="0" borderId="1" xfId="0" applyNumberFormat="1" applyFont="1" applyBorder="1" applyAlignment="1">
      <alignment horizontal="center"/>
    </xf>
    <xf numFmtId="4" fontId="2" fillId="3" borderId="2" xfId="0" applyNumberFormat="1" applyFont="1" applyFill="1" applyBorder="1" applyAlignment="1">
      <alignment horizontal="left" vertical="center" wrapText="1"/>
    </xf>
    <xf numFmtId="4" fontId="2" fillId="3" borderId="3" xfId="0" applyNumberFormat="1" applyFont="1" applyFill="1" applyBorder="1" applyAlignment="1">
      <alignment horizontal="left" vertical="center" wrapText="1"/>
    </xf>
    <xf numFmtId="4" fontId="2" fillId="3" borderId="4" xfId="0" applyNumberFormat="1" applyFont="1" applyFill="1" applyBorder="1" applyAlignment="1">
      <alignment horizontal="left" vertical="center" wrapText="1"/>
    </xf>
  </cellXfs>
  <cellStyles count="3">
    <cellStyle name="Обычный" xfId="0" builtinId="0"/>
    <cellStyle name="Процентный" xfId="1" builtinId="5"/>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57151</xdr:rowOff>
    </xdr:from>
    <xdr:to>
      <xdr:col>24</xdr:col>
      <xdr:colOff>351354</xdr:colOff>
      <xdr:row>40</xdr:row>
      <xdr:rowOff>161925</xdr:rowOff>
    </xdr:to>
    <xdr:pic>
      <xdr:nvPicPr>
        <xdr:cNvPr id="3" name="Рисунок 2">
          <a:extLst>
            <a:ext uri="{FF2B5EF4-FFF2-40B4-BE49-F238E27FC236}">
              <a16:creationId xmlns:a16="http://schemas.microsoft.com/office/drawing/2014/main" id="{A4B6A26F-19A6-FFCA-E4BA-B4934623A0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57151"/>
          <a:ext cx="14924605" cy="7724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608133</xdr:colOff>
      <xdr:row>0</xdr:row>
      <xdr:rowOff>98914</xdr:rowOff>
    </xdr:from>
    <xdr:to>
      <xdr:col>12</xdr:col>
      <xdr:colOff>539883</xdr:colOff>
      <xdr:row>2</xdr:row>
      <xdr:rowOff>102579</xdr:rowOff>
    </xdr:to>
    <xdr:sp macro="" textlink="">
      <xdr:nvSpPr>
        <xdr:cNvPr id="2" name="TextBox 1">
          <a:extLst>
            <a:ext uri="{FF2B5EF4-FFF2-40B4-BE49-F238E27FC236}">
              <a16:creationId xmlns:a16="http://schemas.microsoft.com/office/drawing/2014/main" id="{BC29EABD-44CF-42D7-9305-877FC943F4B6}"/>
            </a:ext>
          </a:extLst>
        </xdr:cNvPr>
        <xdr:cNvSpPr txBox="1"/>
      </xdr:nvSpPr>
      <xdr:spPr>
        <a:xfrm>
          <a:off x="89973" y="98914"/>
          <a:ext cx="10180650" cy="46086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2400" b="1"/>
            <a:t>Быстрое форматирование</a:t>
          </a:r>
          <a:endParaRPr lang="ru-RU" sz="1400" b="0" baseline="0"/>
        </a:p>
        <a:p>
          <a:pPr algn="ctr"/>
          <a:r>
            <a:rPr lang="ru-RU" sz="1400" b="0" baseline="0"/>
            <a:t> </a:t>
          </a:r>
          <a:endParaRPr lang="ru-RU" sz="1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328972</xdr:colOff>
      <xdr:row>53</xdr:row>
      <xdr:rowOff>128263</xdr:rowOff>
    </xdr:from>
    <xdr:to>
      <xdr:col>5</xdr:col>
      <xdr:colOff>888424</xdr:colOff>
      <xdr:row>59</xdr:row>
      <xdr:rowOff>197868</xdr:rowOff>
    </xdr:to>
    <xdr:sp macro="" textlink="">
      <xdr:nvSpPr>
        <xdr:cNvPr id="2" name="Шестиугольник 1">
          <a:extLst>
            <a:ext uri="{FF2B5EF4-FFF2-40B4-BE49-F238E27FC236}">
              <a16:creationId xmlns:a16="http://schemas.microsoft.com/office/drawing/2014/main" id="{410064CC-036D-4223-B610-C255016F6A24}"/>
            </a:ext>
          </a:extLst>
        </xdr:cNvPr>
        <xdr:cNvSpPr/>
      </xdr:nvSpPr>
      <xdr:spPr>
        <a:xfrm>
          <a:off x="6444022" y="24464638"/>
          <a:ext cx="1807227" cy="1498355"/>
        </a:xfrm>
        <a:prstGeom prst="hexagon">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ru-RU">
              <a:solidFill>
                <a:srgbClr val="FF0000"/>
              </a:solidFill>
            </a:rPr>
            <a:t>Стоимость</a:t>
          </a:r>
        </a:p>
      </xdr:txBody>
    </xdr:sp>
    <xdr:clientData/>
  </xdr:twoCellAnchor>
  <xdr:twoCellAnchor>
    <xdr:from>
      <xdr:col>6</xdr:col>
      <xdr:colOff>609600</xdr:colOff>
      <xdr:row>59</xdr:row>
      <xdr:rowOff>145154</xdr:rowOff>
    </xdr:from>
    <xdr:to>
      <xdr:col>7</xdr:col>
      <xdr:colOff>1152835</xdr:colOff>
      <xdr:row>65</xdr:row>
      <xdr:rowOff>218423</xdr:rowOff>
    </xdr:to>
    <xdr:sp macro="" textlink="">
      <xdr:nvSpPr>
        <xdr:cNvPr id="3" name="Шестиугольник 2">
          <a:extLst>
            <a:ext uri="{FF2B5EF4-FFF2-40B4-BE49-F238E27FC236}">
              <a16:creationId xmlns:a16="http://schemas.microsoft.com/office/drawing/2014/main" id="{9054C5E2-88B9-4566-B673-122A5B0529FF}"/>
            </a:ext>
          </a:extLst>
        </xdr:cNvPr>
        <xdr:cNvSpPr/>
      </xdr:nvSpPr>
      <xdr:spPr>
        <a:xfrm>
          <a:off x="9220200" y="25910279"/>
          <a:ext cx="1791010" cy="1502019"/>
        </a:xfrm>
        <a:prstGeom prst="hexagon">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ru-RU">
              <a:solidFill>
                <a:srgbClr val="FF0000"/>
              </a:solidFill>
            </a:rPr>
            <a:t>Ставка</a:t>
          </a:r>
        </a:p>
      </xdr:txBody>
    </xdr:sp>
    <xdr:clientData/>
  </xdr:twoCellAnchor>
  <xdr:twoCellAnchor>
    <xdr:from>
      <xdr:col>6</xdr:col>
      <xdr:colOff>570670</xdr:colOff>
      <xdr:row>47</xdr:row>
      <xdr:rowOff>181705</xdr:rowOff>
    </xdr:from>
    <xdr:to>
      <xdr:col>7</xdr:col>
      <xdr:colOff>1162050</xdr:colOff>
      <xdr:row>54</xdr:row>
      <xdr:rowOff>16850</xdr:rowOff>
    </xdr:to>
    <xdr:sp macro="" textlink="">
      <xdr:nvSpPr>
        <xdr:cNvPr id="4" name="Шестиугольник 3">
          <a:extLst>
            <a:ext uri="{FF2B5EF4-FFF2-40B4-BE49-F238E27FC236}">
              <a16:creationId xmlns:a16="http://schemas.microsoft.com/office/drawing/2014/main" id="{D969A679-0BB1-4A68-8F8F-7D69BCFD244D}"/>
            </a:ext>
          </a:extLst>
        </xdr:cNvPr>
        <xdr:cNvSpPr/>
      </xdr:nvSpPr>
      <xdr:spPr>
        <a:xfrm>
          <a:off x="9181270" y="23089330"/>
          <a:ext cx="1839155" cy="1502020"/>
        </a:xfrm>
        <a:prstGeom prst="hexagon">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ru-RU">
              <a:solidFill>
                <a:srgbClr val="FF0000"/>
              </a:solidFill>
            </a:rPr>
            <a:t>ЧОД</a:t>
          </a:r>
        </a:p>
      </xdr:txBody>
    </xdr:sp>
    <xdr:clientData/>
  </xdr:twoCellAnchor>
  <xdr:twoCellAnchor>
    <xdr:from>
      <xdr:col>7</xdr:col>
      <xdr:colOff>68015</xdr:colOff>
      <xdr:row>54</xdr:row>
      <xdr:rowOff>26374</xdr:rowOff>
    </xdr:from>
    <xdr:to>
      <xdr:col>7</xdr:col>
      <xdr:colOff>447675</xdr:colOff>
      <xdr:row>59</xdr:row>
      <xdr:rowOff>142874</xdr:rowOff>
    </xdr:to>
    <xdr:sp macro="" textlink="">
      <xdr:nvSpPr>
        <xdr:cNvPr id="5" name="Стрелка: вверх-вниз 4">
          <a:extLst>
            <a:ext uri="{FF2B5EF4-FFF2-40B4-BE49-F238E27FC236}">
              <a16:creationId xmlns:a16="http://schemas.microsoft.com/office/drawing/2014/main" id="{A04B2461-63F7-48B9-AF7B-129222AE309D}"/>
            </a:ext>
          </a:extLst>
        </xdr:cNvPr>
        <xdr:cNvSpPr/>
      </xdr:nvSpPr>
      <xdr:spPr>
        <a:xfrm>
          <a:off x="9926390" y="24600874"/>
          <a:ext cx="379660" cy="1307125"/>
        </a:xfrm>
        <a:prstGeom prst="up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5</xdr:col>
      <xdr:colOff>667729</xdr:colOff>
      <xdr:row>59</xdr:row>
      <xdr:rowOff>31479</xdr:rowOff>
    </xdr:from>
    <xdr:to>
      <xdr:col>6</xdr:col>
      <xdr:colOff>860955</xdr:colOff>
      <xdr:row>60</xdr:row>
      <xdr:rowOff>135983</xdr:rowOff>
    </xdr:to>
    <xdr:sp macro="" textlink="">
      <xdr:nvSpPr>
        <xdr:cNvPr id="6" name="Стрелка: вверх-вниз 5">
          <a:extLst>
            <a:ext uri="{FF2B5EF4-FFF2-40B4-BE49-F238E27FC236}">
              <a16:creationId xmlns:a16="http://schemas.microsoft.com/office/drawing/2014/main" id="{E9E59FCB-35A1-4C18-B7E1-32518702E279}"/>
            </a:ext>
          </a:extLst>
        </xdr:cNvPr>
        <xdr:cNvSpPr/>
      </xdr:nvSpPr>
      <xdr:spPr>
        <a:xfrm rot="17788869">
          <a:off x="8579740" y="25247418"/>
          <a:ext cx="342629" cy="1441001"/>
        </a:xfrm>
        <a:prstGeom prst="up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5</xdr:col>
      <xdr:colOff>649482</xdr:colOff>
      <xdr:row>52</xdr:row>
      <xdr:rowOff>208287</xdr:rowOff>
    </xdr:from>
    <xdr:to>
      <xdr:col>6</xdr:col>
      <xdr:colOff>782347</xdr:colOff>
      <xdr:row>54</xdr:row>
      <xdr:rowOff>74666</xdr:rowOff>
    </xdr:to>
    <xdr:sp macro="" textlink="">
      <xdr:nvSpPr>
        <xdr:cNvPr id="7" name="Стрелка: вверх-вниз 6">
          <a:extLst>
            <a:ext uri="{FF2B5EF4-FFF2-40B4-BE49-F238E27FC236}">
              <a16:creationId xmlns:a16="http://schemas.microsoft.com/office/drawing/2014/main" id="{083367F0-DAFE-4DDA-A6C7-8A5CDAC40BA2}"/>
            </a:ext>
          </a:extLst>
        </xdr:cNvPr>
        <xdr:cNvSpPr/>
      </xdr:nvSpPr>
      <xdr:spPr>
        <a:xfrm rot="14652248">
          <a:off x="8531312" y="23787532"/>
          <a:ext cx="342629" cy="1380640"/>
        </a:xfrm>
        <a:prstGeom prst="up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FAA0-30D8-44C7-9B2B-86C0199B6F78}">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B66A6-5D7F-4811-A652-1E0411AB36CE}">
  <dimension ref="B5:I36"/>
  <sheetViews>
    <sheetView zoomScale="115" zoomScaleNormal="115" workbookViewId="0">
      <selection activeCell="B4" sqref="B4"/>
    </sheetView>
  </sheetViews>
  <sheetFormatPr defaultColWidth="9.140625" defaultRowHeight="18.75" x14ac:dyDescent="0.3"/>
  <cols>
    <col min="1" max="1" width="1.28515625" style="118" customWidth="1"/>
    <col min="2" max="2" width="27.7109375" style="118" customWidth="1"/>
    <col min="3" max="7" width="18" style="118" customWidth="1"/>
    <col min="8" max="8" width="9.140625" style="118"/>
    <col min="9" max="13" width="4.28515625" style="118" customWidth="1"/>
    <col min="14" max="16384" width="9.140625" style="118"/>
  </cols>
  <sheetData>
    <row r="5" spans="2:9" x14ac:dyDescent="0.3">
      <c r="B5" s="118" t="s">
        <v>614</v>
      </c>
      <c r="C5" s="119" t="s">
        <v>615</v>
      </c>
      <c r="E5" s="120"/>
      <c r="F5" s="120"/>
      <c r="G5" s="120"/>
      <c r="H5" s="120"/>
      <c r="I5" s="120"/>
    </row>
    <row r="6" spans="2:9" x14ac:dyDescent="0.3">
      <c r="B6" s="118" t="s">
        <v>616</v>
      </c>
      <c r="C6" s="119" t="s">
        <v>617</v>
      </c>
    </row>
    <row r="7" spans="2:9" x14ac:dyDescent="0.3">
      <c r="B7" s="118" t="s">
        <v>618</v>
      </c>
      <c r="C7" s="119" t="s">
        <v>619</v>
      </c>
    </row>
    <row r="8" spans="2:9" x14ac:dyDescent="0.3">
      <c r="B8" s="118" t="s">
        <v>620</v>
      </c>
      <c r="C8" s="119" t="s">
        <v>621</v>
      </c>
    </row>
    <row r="9" spans="2:9" x14ac:dyDescent="0.3">
      <c r="B9" s="118" t="s">
        <v>622</v>
      </c>
      <c r="C9" s="119" t="s">
        <v>623</v>
      </c>
    </row>
    <row r="10" spans="2:9" x14ac:dyDescent="0.3">
      <c r="B10" s="118" t="s">
        <v>624</v>
      </c>
      <c r="C10" s="119" t="s">
        <v>625</v>
      </c>
    </row>
    <row r="11" spans="2:9" x14ac:dyDescent="0.3">
      <c r="B11" s="118" t="s">
        <v>626</v>
      </c>
      <c r="C11" s="119" t="s">
        <v>627</v>
      </c>
    </row>
    <row r="12" spans="2:9" x14ac:dyDescent="0.3">
      <c r="B12" s="118" t="s">
        <v>628</v>
      </c>
      <c r="C12" s="119" t="s">
        <v>629</v>
      </c>
    </row>
    <row r="13" spans="2:9" x14ac:dyDescent="0.3">
      <c r="B13" s="118" t="s">
        <v>630</v>
      </c>
      <c r="C13" s="119" t="s">
        <v>631</v>
      </c>
      <c r="E13" s="119"/>
      <c r="F13" s="119"/>
      <c r="H13" s="119"/>
    </row>
    <row r="14" spans="2:9" x14ac:dyDescent="0.3">
      <c r="B14" s="118" t="s">
        <v>632</v>
      </c>
      <c r="C14" s="119" t="s">
        <v>633</v>
      </c>
    </row>
    <row r="15" spans="2:9" x14ac:dyDescent="0.3">
      <c r="B15" s="118" t="s">
        <v>634</v>
      </c>
      <c r="C15" s="119" t="s">
        <v>635</v>
      </c>
    </row>
    <row r="16" spans="2:9" x14ac:dyDescent="0.3">
      <c r="D16" s="124"/>
    </row>
    <row r="17" spans="2:7" x14ac:dyDescent="0.3">
      <c r="B17" s="118" t="s">
        <v>636</v>
      </c>
      <c r="C17" s="119" t="s">
        <v>701</v>
      </c>
      <c r="F17" s="120"/>
    </row>
    <row r="18" spans="2:7" x14ac:dyDescent="0.3">
      <c r="B18" s="118" t="s">
        <v>637</v>
      </c>
      <c r="C18" s="119" t="s">
        <v>638</v>
      </c>
    </row>
    <row r="20" spans="2:7" x14ac:dyDescent="0.3">
      <c r="C20" s="119" t="s">
        <v>639</v>
      </c>
    </row>
    <row r="21" spans="2:7" x14ac:dyDescent="0.3">
      <c r="B21" s="1"/>
    </row>
    <row r="22" spans="2:7" x14ac:dyDescent="0.3">
      <c r="C22" s="119" t="s">
        <v>640</v>
      </c>
    </row>
    <row r="23" spans="2:7" x14ac:dyDescent="0.3">
      <c r="C23" s="119" t="s">
        <v>641</v>
      </c>
    </row>
    <row r="25" spans="2:7" x14ac:dyDescent="0.3">
      <c r="C25" s="118" t="s">
        <v>642</v>
      </c>
    </row>
    <row r="26" spans="2:7" x14ac:dyDescent="0.3">
      <c r="C26" s="118" t="s">
        <v>643</v>
      </c>
    </row>
    <row r="27" spans="2:7" x14ac:dyDescent="0.3">
      <c r="C27" s="118" t="s">
        <v>644</v>
      </c>
    </row>
    <row r="29" spans="2:7" x14ac:dyDescent="0.3">
      <c r="C29" s="121" t="s">
        <v>645</v>
      </c>
      <c r="D29" s="121" t="s">
        <v>646</v>
      </c>
      <c r="E29" s="121" t="s">
        <v>647</v>
      </c>
      <c r="F29" s="121" t="s">
        <v>648</v>
      </c>
      <c r="G29" s="121" t="s">
        <v>649</v>
      </c>
    </row>
    <row r="30" spans="2:7" x14ac:dyDescent="0.3">
      <c r="C30" s="122">
        <v>40179</v>
      </c>
      <c r="D30" s="122">
        <v>43101</v>
      </c>
      <c r="E30" s="123">
        <f>DATEDIF(C30,D30,"m")</f>
        <v>96</v>
      </c>
      <c r="F30" s="123">
        <f>DATEDIF(C30,D30,"y")</f>
        <v>8</v>
      </c>
      <c r="G30" s="123">
        <f>DATEDIF(C30,D30,"d")</f>
        <v>2922</v>
      </c>
    </row>
    <row r="33" spans="3:7" x14ac:dyDescent="0.3">
      <c r="C33" s="1"/>
      <c r="D33" s="1"/>
      <c r="E33" s="1"/>
      <c r="F33" s="1"/>
      <c r="G33" s="1"/>
    </row>
    <row r="34" spans="3:7" x14ac:dyDescent="0.3">
      <c r="D34" s="1"/>
      <c r="E34" s="1"/>
      <c r="F34" s="1"/>
      <c r="G34" s="1"/>
    </row>
    <row r="35" spans="3:7" x14ac:dyDescent="0.3">
      <c r="D35" s="1"/>
      <c r="E35" s="1"/>
      <c r="F35" s="1"/>
      <c r="G35" s="1"/>
    </row>
    <row r="36" spans="3:7" x14ac:dyDescent="0.3">
      <c r="D36" s="1"/>
      <c r="E36" s="1"/>
      <c r="F36" s="1"/>
      <c r="G36"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5DBD-6D46-4195-9937-004EF8B842E4}">
  <dimension ref="B1:J420"/>
  <sheetViews>
    <sheetView zoomScale="115" zoomScaleNormal="115" workbookViewId="0"/>
  </sheetViews>
  <sheetFormatPr defaultColWidth="9.140625" defaultRowHeight="18.75" x14ac:dyDescent="0.3"/>
  <cols>
    <col min="1" max="1" width="4.28515625" style="1" customWidth="1"/>
    <col min="2" max="2" width="45.140625" style="1" bestFit="1" customWidth="1"/>
    <col min="3" max="3" width="24.5703125" style="1" customWidth="1"/>
    <col min="4" max="10" width="18.140625" style="1" customWidth="1"/>
    <col min="11" max="16384" width="9.140625" style="1"/>
  </cols>
  <sheetData>
    <row r="1" spans="2:10" ht="19.5" thickBot="1" x14ac:dyDescent="0.35"/>
    <row r="2" spans="2:10" ht="134.25" customHeight="1" thickBot="1" x14ac:dyDescent="0.35">
      <c r="B2" s="161" t="s">
        <v>271</v>
      </c>
      <c r="C2" s="162"/>
      <c r="D2" s="162"/>
      <c r="E2" s="162"/>
      <c r="F2" s="162"/>
      <c r="G2" s="162"/>
      <c r="H2" s="162"/>
      <c r="I2" s="162"/>
      <c r="J2" s="163"/>
    </row>
    <row r="5" spans="2:10" x14ac:dyDescent="0.3">
      <c r="B5" s="2" t="s">
        <v>272</v>
      </c>
      <c r="C5" s="2">
        <v>4000</v>
      </c>
    </row>
    <row r="6" spans="2:10" x14ac:dyDescent="0.3">
      <c r="B6" s="2" t="s">
        <v>277</v>
      </c>
      <c r="C6" s="71">
        <v>16</v>
      </c>
    </row>
    <row r="7" spans="2:10" x14ac:dyDescent="0.3">
      <c r="B7" s="2" t="s">
        <v>274</v>
      </c>
      <c r="C7" s="71">
        <v>2010</v>
      </c>
    </row>
    <row r="8" spans="2:10" x14ac:dyDescent="0.3">
      <c r="B8" s="2" t="s">
        <v>273</v>
      </c>
      <c r="C8" s="71">
        <v>2017</v>
      </c>
    </row>
    <row r="9" spans="2:10" x14ac:dyDescent="0.3">
      <c r="B9" s="2" t="s">
        <v>275</v>
      </c>
      <c r="C9" s="2">
        <v>85</v>
      </c>
      <c r="D9" s="90" t="s">
        <v>566</v>
      </c>
    </row>
    <row r="10" spans="2:10" x14ac:dyDescent="0.3">
      <c r="B10" s="2" t="s">
        <v>276</v>
      </c>
      <c r="C10" s="2">
        <v>119</v>
      </c>
      <c r="D10" s="90" t="s">
        <v>566</v>
      </c>
    </row>
    <row r="11" spans="2:10" x14ac:dyDescent="0.3">
      <c r="B11" s="14" t="s">
        <v>35</v>
      </c>
      <c r="C11" s="2"/>
    </row>
    <row r="12" spans="2:10" x14ac:dyDescent="0.3">
      <c r="B12" s="2" t="s">
        <v>278</v>
      </c>
      <c r="C12" s="2">
        <f>C10/C9</f>
        <v>1.4</v>
      </c>
    </row>
    <row r="13" spans="2:10" x14ac:dyDescent="0.3">
      <c r="B13" s="2" t="s">
        <v>507</v>
      </c>
      <c r="C13" s="2">
        <f>C5*C12</f>
        <v>5600</v>
      </c>
    </row>
    <row r="14" spans="2:10" x14ac:dyDescent="0.3">
      <c r="B14" s="2" t="s">
        <v>279</v>
      </c>
      <c r="C14" s="2">
        <f>C8-C7</f>
        <v>7</v>
      </c>
    </row>
    <row r="15" spans="2:10" x14ac:dyDescent="0.3">
      <c r="B15" s="2" t="s">
        <v>301</v>
      </c>
      <c r="C15" s="13">
        <f>C14/C6</f>
        <v>0.4375</v>
      </c>
    </row>
    <row r="16" spans="2:10" x14ac:dyDescent="0.3">
      <c r="B16" s="2" t="s">
        <v>53</v>
      </c>
      <c r="C16" s="84">
        <f>C13*(1-C15)</f>
        <v>3150</v>
      </c>
    </row>
    <row r="18" spans="2:10" ht="19.5" thickBot="1" x14ac:dyDescent="0.35"/>
    <row r="19" spans="2:10" ht="39" customHeight="1" thickBot="1" x14ac:dyDescent="0.35">
      <c r="B19" s="161" t="s">
        <v>280</v>
      </c>
      <c r="C19" s="162"/>
      <c r="D19" s="162"/>
      <c r="E19" s="162"/>
      <c r="F19" s="162"/>
      <c r="G19" s="162"/>
      <c r="H19" s="162"/>
      <c r="I19" s="162"/>
      <c r="J19" s="163"/>
    </row>
    <row r="22" spans="2:10" x14ac:dyDescent="0.3">
      <c r="B22" s="2" t="s">
        <v>281</v>
      </c>
      <c r="C22" s="5">
        <v>0.1</v>
      </c>
    </row>
    <row r="23" spans="2:10" x14ac:dyDescent="0.3">
      <c r="B23" s="2" t="s">
        <v>282</v>
      </c>
      <c r="C23" s="5">
        <v>0.15</v>
      </c>
    </row>
    <row r="24" spans="2:10" x14ac:dyDescent="0.3">
      <c r="B24" s="2" t="s">
        <v>283</v>
      </c>
      <c r="C24" s="5">
        <v>0.05</v>
      </c>
    </row>
    <row r="25" spans="2:10" x14ac:dyDescent="0.3">
      <c r="B25" s="2" t="s">
        <v>284</v>
      </c>
      <c r="C25" s="85">
        <f>1-(1-C22)*(1-C23)*(1-C24)</f>
        <v>0.27324999999999999</v>
      </c>
      <c r="D25" s="111" t="s">
        <v>567</v>
      </c>
    </row>
    <row r="27" spans="2:10" ht="19.5" thickBot="1" x14ac:dyDescent="0.35"/>
    <row r="28" spans="2:10" ht="119.25" customHeight="1" thickBot="1" x14ac:dyDescent="0.35">
      <c r="B28" s="161" t="s">
        <v>586</v>
      </c>
      <c r="C28" s="162"/>
      <c r="D28" s="162"/>
      <c r="E28" s="162"/>
      <c r="F28" s="162"/>
      <c r="G28" s="162"/>
      <c r="H28" s="162"/>
      <c r="I28" s="162"/>
      <c r="J28" s="163"/>
    </row>
    <row r="31" spans="2:10" x14ac:dyDescent="0.3">
      <c r="B31" s="2" t="s">
        <v>285</v>
      </c>
      <c r="C31" s="2">
        <v>500</v>
      </c>
    </row>
    <row r="32" spans="2:10" x14ac:dyDescent="0.3">
      <c r="B32" s="2" t="s">
        <v>286</v>
      </c>
      <c r="C32" s="2">
        <v>400</v>
      </c>
    </row>
    <row r="33" spans="2:10" x14ac:dyDescent="0.3">
      <c r="B33" s="2" t="s">
        <v>111</v>
      </c>
      <c r="C33" s="2">
        <v>1000</v>
      </c>
    </row>
    <row r="34" spans="2:10" x14ac:dyDescent="0.3">
      <c r="B34" s="2" t="s">
        <v>30</v>
      </c>
      <c r="C34" s="5">
        <v>0.1</v>
      </c>
    </row>
    <row r="35" spans="2:10" x14ac:dyDescent="0.3">
      <c r="B35" s="2" t="s">
        <v>287</v>
      </c>
      <c r="C35" s="5">
        <v>0.3</v>
      </c>
    </row>
    <row r="36" spans="2:10" x14ac:dyDescent="0.3">
      <c r="B36" s="14" t="s">
        <v>35</v>
      </c>
      <c r="C36" s="2"/>
    </row>
    <row r="37" spans="2:10" x14ac:dyDescent="0.3">
      <c r="B37" s="2" t="s">
        <v>288</v>
      </c>
      <c r="C37" s="2">
        <f>C31-C32</f>
        <v>100</v>
      </c>
    </row>
    <row r="38" spans="2:10" x14ac:dyDescent="0.3">
      <c r="B38" s="2" t="s">
        <v>289</v>
      </c>
      <c r="C38" s="2">
        <f>C37*C33</f>
        <v>100000</v>
      </c>
    </row>
    <row r="39" spans="2:10" x14ac:dyDescent="0.3">
      <c r="B39" s="2" t="s">
        <v>290</v>
      </c>
      <c r="C39" s="2">
        <f>C38/C34</f>
        <v>1000000</v>
      </c>
      <c r="D39" s="90" t="s">
        <v>568</v>
      </c>
    </row>
    <row r="40" spans="2:10" x14ac:dyDescent="0.3">
      <c r="B40" s="2" t="s">
        <v>569</v>
      </c>
      <c r="C40" s="95">
        <f>1-C35</f>
        <v>0.7</v>
      </c>
      <c r="D40" s="90" t="s">
        <v>570</v>
      </c>
    </row>
    <row r="41" spans="2:10" x14ac:dyDescent="0.3">
      <c r="B41" s="2" t="s">
        <v>291</v>
      </c>
      <c r="C41" s="84">
        <f>C39*C40</f>
        <v>700000</v>
      </c>
    </row>
    <row r="43" spans="2:10" ht="19.5" thickBot="1" x14ac:dyDescent="0.35"/>
    <row r="44" spans="2:10" ht="97.5" customHeight="1" thickBot="1" x14ac:dyDescent="0.35">
      <c r="B44" s="161" t="s">
        <v>650</v>
      </c>
      <c r="C44" s="162"/>
      <c r="D44" s="162"/>
      <c r="E44" s="162"/>
      <c r="F44" s="162"/>
      <c r="G44" s="162"/>
      <c r="H44" s="162"/>
      <c r="I44" s="162"/>
      <c r="J44" s="163"/>
    </row>
    <row r="46" spans="2:10" x14ac:dyDescent="0.3">
      <c r="B46" s="2"/>
      <c r="C46" s="19" t="s">
        <v>153</v>
      </c>
      <c r="D46" s="19" t="s">
        <v>211</v>
      </c>
      <c r="E46" s="19" t="s">
        <v>212</v>
      </c>
      <c r="F46" s="19" t="s">
        <v>296</v>
      </c>
      <c r="G46" s="19" t="s">
        <v>297</v>
      </c>
    </row>
    <row r="47" spans="2:10" x14ac:dyDescent="0.3">
      <c r="B47" s="2" t="s">
        <v>292</v>
      </c>
      <c r="C47" s="2"/>
      <c r="D47" s="2">
        <v>100000</v>
      </c>
      <c r="E47" s="2">
        <v>140000</v>
      </c>
      <c r="F47" s="18">
        <f>LN(D47/E47)</f>
        <v>-0.33647223662121289</v>
      </c>
      <c r="G47" s="18">
        <f>LN(E47/D47)</f>
        <v>0.33647223662121289</v>
      </c>
    </row>
    <row r="48" spans="2:10" x14ac:dyDescent="0.3">
      <c r="B48" s="2" t="s">
        <v>293</v>
      </c>
      <c r="C48" s="2">
        <v>150</v>
      </c>
      <c r="D48" s="2">
        <v>100</v>
      </c>
      <c r="E48" s="2">
        <v>175</v>
      </c>
      <c r="F48" s="18">
        <f>LN(D48/E48)</f>
        <v>-0.55961578793542277</v>
      </c>
      <c r="G48" s="18">
        <f>LN(E48/D48)</f>
        <v>0.55961578793542266</v>
      </c>
    </row>
    <row r="49" spans="2:10" x14ac:dyDescent="0.3">
      <c r="B49" s="2" t="s">
        <v>294</v>
      </c>
      <c r="C49" s="2"/>
      <c r="D49" s="2"/>
      <c r="E49" s="2"/>
      <c r="F49" s="18">
        <f>F47/F48</f>
        <v>0.60125579705774912</v>
      </c>
      <c r="G49" s="18">
        <f>G47/G48</f>
        <v>0.60125579705774923</v>
      </c>
    </row>
    <row r="50" spans="2:10" x14ac:dyDescent="0.3">
      <c r="B50" s="2" t="s">
        <v>295</v>
      </c>
      <c r="C50" s="15">
        <f>D47*(C48/D48)^F49</f>
        <v>127607.40890485895</v>
      </c>
      <c r="D50" s="2"/>
      <c r="E50" s="2"/>
      <c r="F50" s="2"/>
      <c r="G50" s="2"/>
      <c r="H50" s="90" t="s">
        <v>571</v>
      </c>
    </row>
    <row r="51" spans="2:10" x14ac:dyDescent="0.3">
      <c r="B51" s="2" t="s">
        <v>298</v>
      </c>
      <c r="C51" s="2">
        <v>1.7</v>
      </c>
      <c r="D51" s="2"/>
      <c r="E51" s="2"/>
      <c r="F51" s="2"/>
      <c r="G51" s="2"/>
    </row>
    <row r="52" spans="2:10" x14ac:dyDescent="0.3">
      <c r="B52" s="2" t="s">
        <v>422</v>
      </c>
      <c r="C52" s="15">
        <f>C50*C51</f>
        <v>216932.59513826022</v>
      </c>
      <c r="D52" s="2"/>
      <c r="E52" s="2"/>
      <c r="F52" s="2"/>
      <c r="G52" s="2"/>
    </row>
    <row r="53" spans="2:10" x14ac:dyDescent="0.3">
      <c r="B53" s="2" t="s">
        <v>299</v>
      </c>
      <c r="C53" s="2">
        <v>15</v>
      </c>
      <c r="D53" s="2"/>
      <c r="E53" s="2"/>
      <c r="F53" s="2"/>
      <c r="G53" s="2"/>
    </row>
    <row r="54" spans="2:10" x14ac:dyDescent="0.3">
      <c r="B54" s="2" t="s">
        <v>300</v>
      </c>
      <c r="C54" s="2">
        <v>28</v>
      </c>
      <c r="D54" s="2"/>
      <c r="E54" s="2"/>
      <c r="F54" s="2"/>
      <c r="G54" s="2"/>
    </row>
    <row r="55" spans="2:10" x14ac:dyDescent="0.3">
      <c r="B55" s="2" t="s">
        <v>20</v>
      </c>
      <c r="C55" s="15">
        <f>C54-C53</f>
        <v>13</v>
      </c>
      <c r="D55" s="2"/>
      <c r="E55" s="2"/>
      <c r="F55" s="2"/>
      <c r="G55" s="2"/>
    </row>
    <row r="56" spans="2:10" x14ac:dyDescent="0.3">
      <c r="B56" s="2" t="s">
        <v>301</v>
      </c>
      <c r="C56" s="13">
        <f>C55/C54</f>
        <v>0.4642857142857143</v>
      </c>
      <c r="D56" s="2"/>
      <c r="E56" s="2"/>
      <c r="F56" s="2"/>
      <c r="G56" s="2"/>
    </row>
    <row r="57" spans="2:10" x14ac:dyDescent="0.3">
      <c r="B57" s="2" t="s">
        <v>53</v>
      </c>
      <c r="C57" s="82">
        <f>C52*(1-C56)</f>
        <v>116213.89025263939</v>
      </c>
      <c r="D57" s="2"/>
      <c r="E57" s="2"/>
      <c r="F57" s="2"/>
      <c r="G57" s="2"/>
    </row>
    <row r="59" spans="2:10" x14ac:dyDescent="0.3">
      <c r="B59" s="90" t="s">
        <v>572</v>
      </c>
    </row>
    <row r="61" spans="2:10" ht="19.5" thickBot="1" x14ac:dyDescent="0.35"/>
    <row r="62" spans="2:10" ht="40.5" customHeight="1" thickBot="1" x14ac:dyDescent="0.35">
      <c r="B62" s="161" t="s">
        <v>502</v>
      </c>
      <c r="C62" s="162"/>
      <c r="D62" s="162"/>
      <c r="E62" s="162"/>
      <c r="F62" s="162"/>
      <c r="G62" s="162"/>
      <c r="H62" s="162"/>
      <c r="I62" s="162"/>
      <c r="J62" s="163"/>
    </row>
    <row r="65" spans="2:10" x14ac:dyDescent="0.3">
      <c r="B65" s="2" t="s">
        <v>93</v>
      </c>
      <c r="C65" s="2">
        <v>28000000</v>
      </c>
    </row>
    <row r="66" spans="2:10" x14ac:dyDescent="0.3">
      <c r="B66" s="2" t="s">
        <v>503</v>
      </c>
      <c r="C66" s="2">
        <v>90000000</v>
      </c>
    </row>
    <row r="67" spans="2:10" x14ac:dyDescent="0.3">
      <c r="B67" s="2" t="s">
        <v>504</v>
      </c>
      <c r="C67" s="95">
        <v>0.2</v>
      </c>
    </row>
    <row r="68" spans="2:10" x14ac:dyDescent="0.3">
      <c r="B68" s="14" t="s">
        <v>35</v>
      </c>
      <c r="C68" s="2"/>
    </row>
    <row r="69" spans="2:10" x14ac:dyDescent="0.3">
      <c r="B69" s="2" t="s">
        <v>333</v>
      </c>
      <c r="C69" s="2">
        <f>C66*(1-C67)</f>
        <v>72000000</v>
      </c>
      <c r="D69" s="90" t="s">
        <v>505</v>
      </c>
    </row>
    <row r="70" spans="2:10" x14ac:dyDescent="0.3">
      <c r="B70" s="2" t="s">
        <v>38</v>
      </c>
      <c r="C70" s="84">
        <f>C69+C65</f>
        <v>100000000</v>
      </c>
    </row>
    <row r="72" spans="2:10" ht="19.5" thickBot="1" x14ac:dyDescent="0.35"/>
    <row r="73" spans="2:10" ht="197.25" customHeight="1" thickBot="1" x14ac:dyDescent="0.35">
      <c r="B73" s="161" t="s">
        <v>702</v>
      </c>
      <c r="C73" s="162"/>
      <c r="D73" s="162"/>
      <c r="E73" s="162"/>
      <c r="F73" s="162"/>
      <c r="G73" s="162"/>
      <c r="H73" s="162"/>
      <c r="I73" s="162"/>
      <c r="J73" s="163"/>
    </row>
    <row r="75" spans="2:10" ht="38.450000000000003" customHeight="1" x14ac:dyDescent="0.3">
      <c r="B75" s="137" t="s">
        <v>302</v>
      </c>
      <c r="C75" s="160" t="s">
        <v>703</v>
      </c>
      <c r="D75" s="160"/>
      <c r="E75" s="160"/>
      <c r="F75" s="160"/>
      <c r="G75" s="160"/>
      <c r="H75" s="160"/>
      <c r="I75" s="160"/>
      <c r="J75" s="160"/>
    </row>
    <row r="76" spans="2:10" x14ac:dyDescent="0.3">
      <c r="C76" s="113" t="s">
        <v>303</v>
      </c>
    </row>
    <row r="77" spans="2:10" x14ac:dyDescent="0.3">
      <c r="C77" s="1" t="s">
        <v>304</v>
      </c>
    </row>
    <row r="78" spans="2:10" x14ac:dyDescent="0.3">
      <c r="C78" s="1" t="s">
        <v>587</v>
      </c>
    </row>
    <row r="80" spans="2:10" x14ac:dyDescent="0.3">
      <c r="B80" s="15" t="s">
        <v>305</v>
      </c>
      <c r="C80" s="2"/>
    </row>
    <row r="81" spans="2:3" x14ac:dyDescent="0.3">
      <c r="B81" s="2" t="s">
        <v>2</v>
      </c>
      <c r="C81" s="2">
        <v>6000</v>
      </c>
    </row>
    <row r="82" spans="2:3" x14ac:dyDescent="0.3">
      <c r="B82" s="2" t="s">
        <v>3</v>
      </c>
      <c r="C82" s="2">
        <v>5000</v>
      </c>
    </row>
    <row r="83" spans="2:3" x14ac:dyDescent="0.3">
      <c r="B83" s="2" t="s">
        <v>306</v>
      </c>
      <c r="C83" s="2">
        <v>10000</v>
      </c>
    </row>
    <row r="84" spans="2:3" x14ac:dyDescent="0.3">
      <c r="B84" s="2" t="s">
        <v>48</v>
      </c>
      <c r="C84" s="5">
        <v>0.9</v>
      </c>
    </row>
    <row r="85" spans="2:3" x14ac:dyDescent="0.3">
      <c r="B85" s="2" t="s">
        <v>308</v>
      </c>
      <c r="C85" s="2">
        <v>1500</v>
      </c>
    </row>
    <row r="86" spans="2:3" x14ac:dyDescent="0.3">
      <c r="B86" s="2" t="s">
        <v>30</v>
      </c>
      <c r="C86" s="5">
        <v>0.12</v>
      </c>
    </row>
    <row r="87" spans="2:3" x14ac:dyDescent="0.3">
      <c r="B87" s="2" t="s">
        <v>424</v>
      </c>
      <c r="C87" s="2">
        <v>30000</v>
      </c>
    </row>
    <row r="88" spans="2:3" x14ac:dyDescent="0.3">
      <c r="B88" s="2" t="s">
        <v>309</v>
      </c>
      <c r="C88" s="5">
        <v>0.2</v>
      </c>
    </row>
    <row r="89" spans="2:3" x14ac:dyDescent="0.3">
      <c r="B89" s="14" t="s">
        <v>35</v>
      </c>
      <c r="C89" s="2"/>
    </row>
    <row r="90" spans="2:3" x14ac:dyDescent="0.3">
      <c r="B90" s="2" t="s">
        <v>19</v>
      </c>
      <c r="C90" s="2">
        <f>C82*C83</f>
        <v>50000000</v>
      </c>
    </row>
    <row r="91" spans="2:3" x14ac:dyDescent="0.3">
      <c r="B91" s="2" t="s">
        <v>49</v>
      </c>
      <c r="C91" s="2">
        <f>C90*C84</f>
        <v>45000000</v>
      </c>
    </row>
    <row r="92" spans="2:3" x14ac:dyDescent="0.3">
      <c r="B92" s="2" t="s">
        <v>307</v>
      </c>
      <c r="C92" s="2">
        <f>C85*C82</f>
        <v>7500000</v>
      </c>
    </row>
    <row r="93" spans="2:3" x14ac:dyDescent="0.3">
      <c r="B93" s="2" t="s">
        <v>55</v>
      </c>
      <c r="C93" s="2">
        <f>C91-C92</f>
        <v>37500000</v>
      </c>
    </row>
    <row r="94" spans="2:3" x14ac:dyDescent="0.3">
      <c r="B94" s="2" t="s">
        <v>38</v>
      </c>
      <c r="C94" s="15">
        <f>C93/C86</f>
        <v>312500000</v>
      </c>
    </row>
    <row r="95" spans="2:3" x14ac:dyDescent="0.3">
      <c r="B95" s="2" t="s">
        <v>425</v>
      </c>
      <c r="C95" s="15">
        <f>C87*C81</f>
        <v>180000000</v>
      </c>
    </row>
    <row r="96" spans="2:3" x14ac:dyDescent="0.3">
      <c r="B96" s="2" t="s">
        <v>43</v>
      </c>
      <c r="C96" s="15">
        <f>C94*C88</f>
        <v>62500000</v>
      </c>
    </row>
    <row r="97" spans="2:4" x14ac:dyDescent="0.3">
      <c r="B97" s="2" t="s">
        <v>310</v>
      </c>
      <c r="C97" s="15">
        <f>C94-C95-C96</f>
        <v>70000000</v>
      </c>
    </row>
    <row r="99" spans="2:4" x14ac:dyDescent="0.3">
      <c r="B99" s="15" t="s">
        <v>311</v>
      </c>
      <c r="C99" s="2"/>
    </row>
    <row r="100" spans="2:4" x14ac:dyDescent="0.3">
      <c r="B100" s="2" t="s">
        <v>2</v>
      </c>
      <c r="C100" s="2">
        <v>6000</v>
      </c>
    </row>
    <row r="101" spans="2:4" x14ac:dyDescent="0.3">
      <c r="B101" s="2" t="s">
        <v>312</v>
      </c>
      <c r="C101" s="2">
        <v>4500</v>
      </c>
    </row>
    <row r="102" spans="2:4" x14ac:dyDescent="0.3">
      <c r="B102" s="2" t="s">
        <v>313</v>
      </c>
      <c r="C102" s="2">
        <v>90000</v>
      </c>
    </row>
    <row r="103" spans="2:4" x14ac:dyDescent="0.3">
      <c r="B103" s="2" t="s">
        <v>314</v>
      </c>
      <c r="C103" s="5">
        <v>0.25</v>
      </c>
    </row>
    <row r="104" spans="2:4" x14ac:dyDescent="0.3">
      <c r="B104" s="14" t="s">
        <v>35</v>
      </c>
      <c r="C104" s="5"/>
    </row>
    <row r="105" spans="2:4" x14ac:dyDescent="0.3">
      <c r="B105" s="2" t="s">
        <v>38</v>
      </c>
      <c r="C105" s="2">
        <f>C102*C101</f>
        <v>405000000</v>
      </c>
    </row>
    <row r="106" spans="2:4" x14ac:dyDescent="0.3">
      <c r="B106" s="2" t="s">
        <v>43</v>
      </c>
      <c r="C106" s="2">
        <f>C105*C103</f>
        <v>101250000</v>
      </c>
    </row>
    <row r="107" spans="2:4" x14ac:dyDescent="0.3">
      <c r="C107" s="1" t="s">
        <v>303</v>
      </c>
    </row>
    <row r="108" spans="2:4" x14ac:dyDescent="0.3">
      <c r="C108" s="1" t="s">
        <v>304</v>
      </c>
    </row>
    <row r="109" spans="2:4" x14ac:dyDescent="0.3">
      <c r="C109" s="1" t="s">
        <v>423</v>
      </c>
    </row>
    <row r="110" spans="2:4" x14ac:dyDescent="0.3">
      <c r="C110" s="1" t="s">
        <v>315</v>
      </c>
    </row>
    <row r="111" spans="2:4" x14ac:dyDescent="0.3">
      <c r="C111" s="1" t="s">
        <v>316</v>
      </c>
    </row>
    <row r="112" spans="2:4" x14ac:dyDescent="0.3">
      <c r="C112" s="22">
        <f>C105-C106-C97</f>
        <v>233750000</v>
      </c>
      <c r="D112" s="1" t="s">
        <v>317</v>
      </c>
    </row>
    <row r="113" spans="2:10" x14ac:dyDescent="0.3">
      <c r="C113" s="80">
        <f>C112/C100</f>
        <v>38958.333333333336</v>
      </c>
      <c r="D113" s="1" t="s">
        <v>704</v>
      </c>
    </row>
    <row r="115" spans="2:10" ht="19.5" thickBot="1" x14ac:dyDescent="0.35"/>
    <row r="116" spans="2:10" ht="203.25" customHeight="1" thickBot="1" x14ac:dyDescent="0.35">
      <c r="B116" s="161" t="s">
        <v>651</v>
      </c>
      <c r="C116" s="162"/>
      <c r="D116" s="162"/>
      <c r="E116" s="162"/>
      <c r="F116" s="162"/>
      <c r="G116" s="162"/>
      <c r="H116" s="162"/>
      <c r="I116" s="162"/>
      <c r="J116" s="163"/>
    </row>
    <row r="119" spans="2:10" x14ac:dyDescent="0.3">
      <c r="B119" s="2" t="s">
        <v>319</v>
      </c>
      <c r="C119" s="2">
        <v>30</v>
      </c>
    </row>
    <row r="120" spans="2:10" x14ac:dyDescent="0.3">
      <c r="B120" s="2" t="s">
        <v>320</v>
      </c>
      <c r="C120" s="2">
        <v>10000</v>
      </c>
    </row>
    <row r="121" spans="2:10" x14ac:dyDescent="0.3">
      <c r="B121" s="2" t="s">
        <v>321</v>
      </c>
      <c r="C121" s="2">
        <v>15</v>
      </c>
    </row>
    <row r="122" spans="2:10" x14ac:dyDescent="0.3">
      <c r="B122" s="2" t="s">
        <v>322</v>
      </c>
      <c r="C122" s="5">
        <v>0.05</v>
      </c>
    </row>
    <row r="123" spans="2:10" x14ac:dyDescent="0.3">
      <c r="B123" s="2" t="s">
        <v>323</v>
      </c>
      <c r="C123" s="5">
        <v>1.7</v>
      </c>
    </row>
    <row r="124" spans="2:10" x14ac:dyDescent="0.3">
      <c r="B124" s="2" t="s">
        <v>324</v>
      </c>
      <c r="C124" s="2">
        <v>1000</v>
      </c>
    </row>
    <row r="125" spans="2:10" x14ac:dyDescent="0.3">
      <c r="B125" s="2" t="s">
        <v>277</v>
      </c>
      <c r="C125" s="2">
        <v>20</v>
      </c>
    </row>
    <row r="126" spans="2:10" x14ac:dyDescent="0.3">
      <c r="B126" s="2" t="s">
        <v>325</v>
      </c>
      <c r="C126" s="2">
        <v>15</v>
      </c>
    </row>
    <row r="127" spans="2:10" x14ac:dyDescent="0.3">
      <c r="B127" s="14" t="s">
        <v>35</v>
      </c>
      <c r="C127" s="2"/>
    </row>
    <row r="128" spans="2:10" x14ac:dyDescent="0.3">
      <c r="B128" s="2" t="s">
        <v>326</v>
      </c>
      <c r="C128" s="2">
        <f>C120*C121</f>
        <v>150000</v>
      </c>
    </row>
    <row r="129" spans="2:10" x14ac:dyDescent="0.3">
      <c r="B129" s="2" t="s">
        <v>327</v>
      </c>
      <c r="C129" s="2">
        <f>C128*C122</f>
        <v>7500</v>
      </c>
      <c r="D129" s="90" t="s">
        <v>573</v>
      </c>
    </row>
    <row r="130" spans="2:10" x14ac:dyDescent="0.3">
      <c r="B130" s="2" t="s">
        <v>323</v>
      </c>
      <c r="C130" s="2">
        <f>C128*C123</f>
        <v>255000</v>
      </c>
      <c r="D130" s="90" t="s">
        <v>574</v>
      </c>
    </row>
    <row r="131" spans="2:10" x14ac:dyDescent="0.3">
      <c r="B131" s="2" t="s">
        <v>328</v>
      </c>
      <c r="C131" s="2">
        <f>C124*C119</f>
        <v>30000</v>
      </c>
    </row>
    <row r="132" spans="2:10" x14ac:dyDescent="0.3">
      <c r="B132" s="2" t="s">
        <v>329</v>
      </c>
      <c r="C132" s="2">
        <f>C128+C129+C130+C131</f>
        <v>442500</v>
      </c>
    </row>
    <row r="133" spans="2:10" x14ac:dyDescent="0.3">
      <c r="B133" s="2" t="s">
        <v>20</v>
      </c>
      <c r="C133" s="2">
        <f>C125-C126</f>
        <v>5</v>
      </c>
    </row>
    <row r="134" spans="2:10" x14ac:dyDescent="0.3">
      <c r="B134" s="2" t="s">
        <v>284</v>
      </c>
      <c r="C134" s="5">
        <f>C133/C125</f>
        <v>0.25</v>
      </c>
      <c r="D134" s="90" t="s">
        <v>575</v>
      </c>
    </row>
    <row r="135" spans="2:10" x14ac:dyDescent="0.3">
      <c r="B135" s="2" t="s">
        <v>53</v>
      </c>
      <c r="C135" s="15">
        <f>C132*(1-C134)</f>
        <v>331875</v>
      </c>
    </row>
    <row r="136" spans="2:10" x14ac:dyDescent="0.3">
      <c r="B136" s="2" t="s">
        <v>330</v>
      </c>
      <c r="C136" s="82">
        <f>ROUND(C135,-2)</f>
        <v>331900</v>
      </c>
    </row>
    <row r="138" spans="2:10" ht="19.5" thickBot="1" x14ac:dyDescent="0.35"/>
    <row r="139" spans="2:10" ht="81.75" customHeight="1" thickBot="1" x14ac:dyDescent="0.35">
      <c r="B139" s="161" t="s">
        <v>331</v>
      </c>
      <c r="C139" s="162"/>
      <c r="D139" s="162"/>
      <c r="E139" s="162"/>
      <c r="F139" s="162"/>
      <c r="G139" s="162"/>
      <c r="H139" s="162"/>
      <c r="I139" s="162"/>
      <c r="J139" s="163"/>
    </row>
    <row r="142" spans="2:10" x14ac:dyDescent="0.3">
      <c r="B142" s="2" t="s">
        <v>38</v>
      </c>
      <c r="C142" s="2">
        <v>12500000</v>
      </c>
    </row>
    <row r="143" spans="2:10" x14ac:dyDescent="0.3">
      <c r="B143" s="2" t="s">
        <v>332</v>
      </c>
      <c r="C143" s="2">
        <v>10000000</v>
      </c>
    </row>
    <row r="144" spans="2:10" x14ac:dyDescent="0.3">
      <c r="B144" s="2" t="s">
        <v>281</v>
      </c>
      <c r="C144" s="2">
        <v>1000000</v>
      </c>
    </row>
    <row r="145" spans="2:10" x14ac:dyDescent="0.3">
      <c r="B145" s="2" t="s">
        <v>282</v>
      </c>
      <c r="C145" s="2">
        <v>500000</v>
      </c>
    </row>
    <row r="146" spans="2:10" x14ac:dyDescent="0.3">
      <c r="B146" s="14" t="s">
        <v>35</v>
      </c>
      <c r="C146" s="2"/>
    </row>
    <row r="147" spans="2:10" x14ac:dyDescent="0.3">
      <c r="B147" s="2" t="s">
        <v>333</v>
      </c>
      <c r="C147" s="2">
        <f>C143-C144-C145</f>
        <v>8500000</v>
      </c>
      <c r="D147" s="111" t="s">
        <v>652</v>
      </c>
    </row>
    <row r="148" spans="2:10" x14ac:dyDescent="0.3">
      <c r="B148" s="2" t="s">
        <v>45</v>
      </c>
      <c r="C148" s="84">
        <f>C142-C147</f>
        <v>4000000</v>
      </c>
    </row>
    <row r="150" spans="2:10" ht="19.5" thickBot="1" x14ac:dyDescent="0.35"/>
    <row r="151" spans="2:10" ht="81.75" customHeight="1" thickBot="1" x14ac:dyDescent="0.35">
      <c r="B151" s="161" t="s">
        <v>334</v>
      </c>
      <c r="C151" s="162"/>
      <c r="D151" s="162"/>
      <c r="E151" s="162"/>
      <c r="F151" s="162"/>
      <c r="G151" s="162"/>
      <c r="H151" s="162"/>
      <c r="I151" s="162"/>
      <c r="J151" s="163"/>
    </row>
    <row r="154" spans="2:10" x14ac:dyDescent="0.3">
      <c r="B154" s="2" t="s">
        <v>340</v>
      </c>
      <c r="C154" s="2">
        <v>1000000</v>
      </c>
    </row>
    <row r="155" spans="2:10" x14ac:dyDescent="0.3">
      <c r="B155" s="2" t="s">
        <v>335</v>
      </c>
      <c r="C155" s="71">
        <v>2010</v>
      </c>
    </row>
    <row r="156" spans="2:10" x14ac:dyDescent="0.3">
      <c r="B156" s="2" t="s">
        <v>273</v>
      </c>
      <c r="C156" s="71">
        <v>2017</v>
      </c>
    </row>
    <row r="157" spans="2:10" x14ac:dyDescent="0.3">
      <c r="B157" s="2" t="s">
        <v>336</v>
      </c>
      <c r="C157" s="2">
        <v>85</v>
      </c>
    </row>
    <row r="158" spans="2:10" x14ac:dyDescent="0.3">
      <c r="B158" s="2" t="s">
        <v>337</v>
      </c>
      <c r="C158" s="2">
        <v>119</v>
      </c>
    </row>
    <row r="159" spans="2:10" x14ac:dyDescent="0.3">
      <c r="B159" s="2" t="s">
        <v>338</v>
      </c>
      <c r="C159" s="2">
        <v>70</v>
      </c>
    </row>
    <row r="160" spans="2:10" x14ac:dyDescent="0.3">
      <c r="B160" s="14" t="s">
        <v>35</v>
      </c>
      <c r="C160" s="2"/>
    </row>
    <row r="161" spans="2:10" x14ac:dyDescent="0.3">
      <c r="B161" s="2" t="s">
        <v>339</v>
      </c>
      <c r="C161" s="2">
        <f>C156-C155</f>
        <v>7</v>
      </c>
    </row>
    <row r="162" spans="2:10" x14ac:dyDescent="0.3">
      <c r="B162" s="2" t="s">
        <v>281</v>
      </c>
      <c r="C162" s="5">
        <f>C161/C159</f>
        <v>0.1</v>
      </c>
    </row>
    <row r="163" spans="2:10" x14ac:dyDescent="0.3">
      <c r="B163" s="2" t="s">
        <v>341</v>
      </c>
      <c r="C163" s="2">
        <f>C158/C157</f>
        <v>1.4</v>
      </c>
    </row>
    <row r="164" spans="2:10" x14ac:dyDescent="0.3">
      <c r="B164" s="2" t="s">
        <v>342</v>
      </c>
      <c r="C164" s="2">
        <f>C154*C163</f>
        <v>1400000</v>
      </c>
    </row>
    <row r="165" spans="2:10" x14ac:dyDescent="0.3">
      <c r="B165" s="2" t="s">
        <v>53</v>
      </c>
      <c r="C165" s="84">
        <f>C164*(1-C162)</f>
        <v>1260000</v>
      </c>
    </row>
    <row r="167" spans="2:10" ht="19.5" thickBot="1" x14ac:dyDescent="0.35"/>
    <row r="168" spans="2:10" ht="137.25" customHeight="1" thickBot="1" x14ac:dyDescent="0.35">
      <c r="B168" s="161" t="s">
        <v>653</v>
      </c>
      <c r="C168" s="162"/>
      <c r="D168" s="162"/>
      <c r="E168" s="162"/>
      <c r="F168" s="162"/>
      <c r="G168" s="162"/>
      <c r="H168" s="162"/>
      <c r="I168" s="162"/>
      <c r="J168" s="163"/>
    </row>
    <row r="171" spans="2:10" x14ac:dyDescent="0.3">
      <c r="B171" s="2" t="s">
        <v>343</v>
      </c>
      <c r="C171" s="2">
        <v>120</v>
      </c>
    </row>
    <row r="172" spans="2:10" x14ac:dyDescent="0.3">
      <c r="B172" s="2" t="s">
        <v>344</v>
      </c>
      <c r="C172" s="2">
        <v>57</v>
      </c>
    </row>
    <row r="173" spans="2:10" x14ac:dyDescent="0.3">
      <c r="B173" s="2" t="s">
        <v>345</v>
      </c>
      <c r="C173" s="2">
        <v>202</v>
      </c>
    </row>
    <row r="174" spans="2:10" x14ac:dyDescent="0.3">
      <c r="B174" s="2" t="s">
        <v>346</v>
      </c>
      <c r="C174" s="2">
        <v>1.1499999999999999</v>
      </c>
    </row>
    <row r="175" spans="2:10" x14ac:dyDescent="0.3">
      <c r="B175" s="2" t="s">
        <v>347</v>
      </c>
      <c r="C175" s="2">
        <v>16000</v>
      </c>
    </row>
    <row r="176" spans="2:10" x14ac:dyDescent="0.3">
      <c r="B176" s="2" t="s">
        <v>325</v>
      </c>
      <c r="C176" s="2">
        <v>12</v>
      </c>
    </row>
    <row r="177" spans="2:10" x14ac:dyDescent="0.3">
      <c r="B177" s="2" t="s">
        <v>348</v>
      </c>
      <c r="C177" s="2">
        <v>29</v>
      </c>
    </row>
    <row r="178" spans="2:10" x14ac:dyDescent="0.3">
      <c r="B178" s="14" t="s">
        <v>35</v>
      </c>
      <c r="C178" s="2"/>
    </row>
    <row r="179" spans="2:10" x14ac:dyDescent="0.3">
      <c r="B179" s="2" t="s">
        <v>349</v>
      </c>
      <c r="C179" s="2">
        <f>C171*C173</f>
        <v>24240</v>
      </c>
    </row>
    <row r="180" spans="2:10" x14ac:dyDescent="0.3">
      <c r="B180" s="2" t="s">
        <v>350</v>
      </c>
      <c r="C180" s="2">
        <f>C179*C172</f>
        <v>1381680</v>
      </c>
    </row>
    <row r="181" spans="2:10" x14ac:dyDescent="0.3">
      <c r="B181" s="2" t="s">
        <v>351</v>
      </c>
      <c r="C181" s="2">
        <f>C180*C174</f>
        <v>1588931.9999999998</v>
      </c>
    </row>
    <row r="182" spans="2:10" x14ac:dyDescent="0.3">
      <c r="B182" s="2" t="s">
        <v>352</v>
      </c>
      <c r="C182" s="2">
        <f>C175*C171</f>
        <v>1920000</v>
      </c>
    </row>
    <row r="183" spans="2:10" x14ac:dyDescent="0.3">
      <c r="B183" s="2" t="s">
        <v>353</v>
      </c>
      <c r="C183" s="2">
        <f>C181+C182</f>
        <v>3508932</v>
      </c>
    </row>
    <row r="184" spans="2:10" x14ac:dyDescent="0.3">
      <c r="B184" s="2" t="s">
        <v>20</v>
      </c>
      <c r="C184" s="2">
        <f>C177-C176</f>
        <v>17</v>
      </c>
    </row>
    <row r="185" spans="2:10" x14ac:dyDescent="0.3">
      <c r="B185" s="2" t="s">
        <v>301</v>
      </c>
      <c r="C185" s="13">
        <f>C184/C177</f>
        <v>0.58620689655172409</v>
      </c>
      <c r="D185" s="111" t="s">
        <v>654</v>
      </c>
    </row>
    <row r="186" spans="2:10" x14ac:dyDescent="0.3">
      <c r="B186" s="2" t="s">
        <v>53</v>
      </c>
      <c r="C186" s="2">
        <f>C183*(1-C185)</f>
        <v>1451971.8620689658</v>
      </c>
    </row>
    <row r="187" spans="2:10" x14ac:dyDescent="0.3">
      <c r="B187" s="2" t="s">
        <v>330</v>
      </c>
      <c r="C187" s="82">
        <f>ROUND(C186,-3)</f>
        <v>1452000</v>
      </c>
    </row>
    <row r="189" spans="2:10" ht="19.5" thickBot="1" x14ac:dyDescent="0.35"/>
    <row r="190" spans="2:10" ht="81" customHeight="1" thickBot="1" x14ac:dyDescent="0.35">
      <c r="B190" s="161" t="s">
        <v>506</v>
      </c>
      <c r="C190" s="162"/>
      <c r="D190" s="162"/>
      <c r="E190" s="162"/>
      <c r="F190" s="162"/>
      <c r="G190" s="162"/>
      <c r="H190" s="162"/>
      <c r="I190" s="162"/>
      <c r="J190" s="163"/>
    </row>
    <row r="193" spans="2:10" x14ac:dyDescent="0.3">
      <c r="B193" s="2" t="s">
        <v>507</v>
      </c>
      <c r="C193" s="2">
        <v>11000000</v>
      </c>
    </row>
    <row r="194" spans="2:10" x14ac:dyDescent="0.3">
      <c r="B194" s="2" t="s">
        <v>281</v>
      </c>
      <c r="C194" s="95">
        <v>0.1</v>
      </c>
    </row>
    <row r="195" spans="2:10" x14ac:dyDescent="0.3">
      <c r="B195" s="2" t="s">
        <v>508</v>
      </c>
      <c r="C195" s="2">
        <v>8800000</v>
      </c>
    </row>
    <row r="196" spans="2:10" x14ac:dyDescent="0.3">
      <c r="B196" s="2" t="s">
        <v>45</v>
      </c>
      <c r="C196" s="2">
        <v>2000000</v>
      </c>
    </row>
    <row r="197" spans="2:10" x14ac:dyDescent="0.3">
      <c r="B197" s="14" t="s">
        <v>35</v>
      </c>
      <c r="C197" s="2"/>
    </row>
    <row r="198" spans="2:10" x14ac:dyDescent="0.3">
      <c r="B198" s="2" t="s">
        <v>38</v>
      </c>
      <c r="C198" s="84">
        <f>C195+C196</f>
        <v>10800000</v>
      </c>
      <c r="D198" s="90" t="s">
        <v>509</v>
      </c>
    </row>
    <row r="199" spans="2:10" x14ac:dyDescent="0.3">
      <c r="D199" s="90" t="s">
        <v>510</v>
      </c>
    </row>
    <row r="200" spans="2:10" x14ac:dyDescent="0.3">
      <c r="D200" s="90" t="s">
        <v>511</v>
      </c>
    </row>
    <row r="202" spans="2:10" ht="19.5" thickBot="1" x14ac:dyDescent="0.35"/>
    <row r="203" spans="2:10" ht="135" customHeight="1" thickBot="1" x14ac:dyDescent="0.35">
      <c r="B203" s="161" t="s">
        <v>655</v>
      </c>
      <c r="C203" s="162"/>
      <c r="D203" s="162"/>
      <c r="E203" s="162"/>
      <c r="F203" s="162"/>
      <c r="G203" s="162"/>
      <c r="H203" s="162"/>
      <c r="I203" s="162"/>
      <c r="J203" s="163"/>
    </row>
    <row r="205" spans="2:10" x14ac:dyDescent="0.3">
      <c r="B205" s="90" t="s">
        <v>576</v>
      </c>
    </row>
    <row r="206" spans="2:10" x14ac:dyDescent="0.3">
      <c r="B206" s="19" t="s">
        <v>354</v>
      </c>
      <c r="C206" s="19" t="s">
        <v>355</v>
      </c>
      <c r="D206" s="19" t="s">
        <v>318</v>
      </c>
      <c r="E206" s="19" t="s">
        <v>196</v>
      </c>
    </row>
    <row r="207" spans="2:10" x14ac:dyDescent="0.3">
      <c r="B207" s="2" t="s">
        <v>356</v>
      </c>
      <c r="C207" s="17" t="s">
        <v>360</v>
      </c>
      <c r="D207" s="17">
        <v>8000</v>
      </c>
      <c r="E207" s="17">
        <v>5600</v>
      </c>
    </row>
    <row r="208" spans="2:10" x14ac:dyDescent="0.3">
      <c r="B208" s="9" t="s">
        <v>357</v>
      </c>
      <c r="C208" s="75" t="s">
        <v>360</v>
      </c>
      <c r="D208" s="75">
        <v>6500</v>
      </c>
      <c r="E208" s="75">
        <v>3253</v>
      </c>
    </row>
    <row r="209" spans="2:6" ht="36.75" customHeight="1" x14ac:dyDescent="0.3">
      <c r="B209" s="72" t="s">
        <v>358</v>
      </c>
      <c r="C209" s="17" t="s">
        <v>361</v>
      </c>
      <c r="D209" s="17">
        <v>7500</v>
      </c>
      <c r="E209" s="17">
        <v>2319</v>
      </c>
    </row>
    <row r="210" spans="2:6" ht="34.5" customHeight="1" x14ac:dyDescent="0.3">
      <c r="B210" s="72" t="s">
        <v>359</v>
      </c>
      <c r="C210" s="17" t="s">
        <v>361</v>
      </c>
      <c r="D210" s="17">
        <v>8370</v>
      </c>
      <c r="E210" s="17">
        <v>4331</v>
      </c>
    </row>
    <row r="211" spans="2:6" x14ac:dyDescent="0.3">
      <c r="B211" s="2" t="s">
        <v>357</v>
      </c>
      <c r="C211" s="17" t="s">
        <v>362</v>
      </c>
      <c r="D211" s="17">
        <v>11000</v>
      </c>
      <c r="E211" s="17">
        <v>1611</v>
      </c>
    </row>
    <row r="213" spans="2:6" x14ac:dyDescent="0.3">
      <c r="B213" s="22" t="s">
        <v>370</v>
      </c>
    </row>
    <row r="214" spans="2:6" x14ac:dyDescent="0.3">
      <c r="B214" s="19" t="s">
        <v>363</v>
      </c>
      <c r="C214" s="19" t="s">
        <v>369</v>
      </c>
    </row>
    <row r="215" spans="2:6" x14ac:dyDescent="0.3">
      <c r="B215" s="2" t="s">
        <v>364</v>
      </c>
      <c r="C215" s="19">
        <v>1.2</v>
      </c>
    </row>
    <row r="216" spans="2:6" x14ac:dyDescent="0.3">
      <c r="B216" s="2" t="s">
        <v>365</v>
      </c>
      <c r="C216" s="19">
        <v>1.1599999999999999</v>
      </c>
    </row>
    <row r="217" spans="2:6" x14ac:dyDescent="0.3">
      <c r="B217" s="2" t="s">
        <v>366</v>
      </c>
      <c r="C217" s="19">
        <v>1</v>
      </c>
    </row>
    <row r="218" spans="2:6" x14ac:dyDescent="0.3">
      <c r="B218" s="9" t="s">
        <v>367</v>
      </c>
      <c r="C218" s="74">
        <v>0.87</v>
      </c>
    </row>
    <row r="219" spans="2:6" x14ac:dyDescent="0.3">
      <c r="B219" s="2" t="s">
        <v>368</v>
      </c>
      <c r="C219" s="19">
        <v>0.86</v>
      </c>
    </row>
    <row r="221" spans="2:6" x14ac:dyDescent="0.3">
      <c r="B221" s="22" t="s">
        <v>371</v>
      </c>
    </row>
    <row r="222" spans="2:6" x14ac:dyDescent="0.3">
      <c r="B222" s="19" t="s">
        <v>372</v>
      </c>
      <c r="C222" s="19" t="s">
        <v>373</v>
      </c>
      <c r="D222" s="19" t="s">
        <v>360</v>
      </c>
      <c r="E222" s="19" t="s">
        <v>362</v>
      </c>
      <c r="F222" s="19" t="s">
        <v>374</v>
      </c>
    </row>
    <row r="223" spans="2:6" x14ac:dyDescent="0.3">
      <c r="B223" s="2" t="s">
        <v>375</v>
      </c>
      <c r="C223" s="19">
        <v>0.7</v>
      </c>
      <c r="D223" s="19">
        <v>0.5</v>
      </c>
      <c r="E223" s="19">
        <v>1</v>
      </c>
      <c r="F223" s="19">
        <v>0.9</v>
      </c>
    </row>
    <row r="224" spans="2:6" x14ac:dyDescent="0.3">
      <c r="B224" s="2" t="s">
        <v>376</v>
      </c>
      <c r="C224" s="19">
        <v>1</v>
      </c>
      <c r="D224" s="74">
        <v>1</v>
      </c>
      <c r="E224" s="19">
        <v>1</v>
      </c>
      <c r="F224" s="19">
        <v>1</v>
      </c>
    </row>
    <row r="225" spans="2:9" x14ac:dyDescent="0.3">
      <c r="B225" s="2" t="s">
        <v>377</v>
      </c>
      <c r="C225" s="19">
        <v>0.9</v>
      </c>
      <c r="D225" s="74">
        <v>0.8</v>
      </c>
      <c r="E225" s="19">
        <v>0.7</v>
      </c>
      <c r="F225" s="19">
        <v>0.4</v>
      </c>
    </row>
    <row r="226" spans="2:9" x14ac:dyDescent="0.3">
      <c r="B226" s="2" t="s">
        <v>378</v>
      </c>
      <c r="C226" s="19">
        <v>0.5</v>
      </c>
      <c r="D226" s="19">
        <v>0.1</v>
      </c>
      <c r="E226" s="19">
        <v>0.9</v>
      </c>
      <c r="F226" s="19">
        <v>0.6</v>
      </c>
    </row>
    <row r="228" spans="2:9" x14ac:dyDescent="0.3">
      <c r="B228" s="22" t="s">
        <v>379</v>
      </c>
    </row>
    <row r="229" spans="2:9" x14ac:dyDescent="0.3">
      <c r="B229" s="19" t="s">
        <v>380</v>
      </c>
      <c r="C229" s="73">
        <v>2010</v>
      </c>
      <c r="D229" s="73">
        <v>2011</v>
      </c>
      <c r="E229" s="73">
        <v>2012</v>
      </c>
      <c r="F229" s="73">
        <v>2013</v>
      </c>
      <c r="G229" s="73">
        <v>2014</v>
      </c>
      <c r="H229" s="73">
        <v>2015</v>
      </c>
      <c r="I229" s="73">
        <v>2016</v>
      </c>
    </row>
    <row r="230" spans="2:9" x14ac:dyDescent="0.3">
      <c r="B230" s="2" t="s">
        <v>381</v>
      </c>
      <c r="C230" s="3">
        <v>172</v>
      </c>
      <c r="D230" s="3">
        <v>180</v>
      </c>
      <c r="E230" s="3">
        <v>174</v>
      </c>
      <c r="F230" s="3">
        <v>177</v>
      </c>
      <c r="G230" s="3">
        <v>185</v>
      </c>
      <c r="H230" s="3">
        <v>192</v>
      </c>
      <c r="I230" s="3">
        <v>195</v>
      </c>
    </row>
    <row r="231" spans="2:9" x14ac:dyDescent="0.3">
      <c r="B231" s="2" t="s">
        <v>382</v>
      </c>
      <c r="C231" s="3">
        <v>167</v>
      </c>
      <c r="D231" s="3">
        <v>175</v>
      </c>
      <c r="E231" s="3">
        <v>181</v>
      </c>
      <c r="F231" s="3">
        <v>174</v>
      </c>
      <c r="G231" s="76">
        <v>176</v>
      </c>
      <c r="H231" s="3">
        <v>177</v>
      </c>
      <c r="I231" s="76">
        <v>184</v>
      </c>
    </row>
    <row r="232" spans="2:9" x14ac:dyDescent="0.3">
      <c r="B232" s="2" t="s">
        <v>383</v>
      </c>
      <c r="C232" s="3">
        <v>198</v>
      </c>
      <c r="D232" s="3">
        <v>203</v>
      </c>
      <c r="E232" s="3">
        <v>212</v>
      </c>
      <c r="F232" s="3">
        <v>211</v>
      </c>
      <c r="G232" s="3">
        <v>214</v>
      </c>
      <c r="H232" s="3">
        <v>221</v>
      </c>
      <c r="I232" s="3">
        <v>226</v>
      </c>
    </row>
    <row r="233" spans="2:9" x14ac:dyDescent="0.3">
      <c r="B233" s="2" t="s">
        <v>384</v>
      </c>
      <c r="C233" s="3">
        <v>113</v>
      </c>
      <c r="D233" s="3">
        <v>120</v>
      </c>
      <c r="E233" s="3">
        <v>122</v>
      </c>
      <c r="F233" s="3">
        <v>129</v>
      </c>
      <c r="G233" s="3">
        <v>132</v>
      </c>
      <c r="H233" s="3">
        <v>128</v>
      </c>
      <c r="I233" s="3">
        <v>136</v>
      </c>
    </row>
    <row r="236" spans="2:9" x14ac:dyDescent="0.3">
      <c r="B236" s="2" t="s">
        <v>385</v>
      </c>
      <c r="C236" s="2">
        <v>8000</v>
      </c>
    </row>
    <row r="237" spans="2:9" x14ac:dyDescent="0.3">
      <c r="B237" s="2" t="s">
        <v>325</v>
      </c>
      <c r="C237" s="2">
        <v>27</v>
      </c>
    </row>
    <row r="238" spans="2:9" x14ac:dyDescent="0.3">
      <c r="B238" s="2" t="s">
        <v>348</v>
      </c>
      <c r="C238" s="2">
        <v>40</v>
      </c>
    </row>
    <row r="239" spans="2:9" x14ac:dyDescent="0.3">
      <c r="B239" s="14" t="s">
        <v>35</v>
      </c>
      <c r="C239" s="2"/>
    </row>
    <row r="240" spans="2:9" x14ac:dyDescent="0.3">
      <c r="B240" s="2" t="s">
        <v>386</v>
      </c>
      <c r="C240" s="15">
        <v>3253</v>
      </c>
    </row>
    <row r="241" spans="2:10" x14ac:dyDescent="0.3">
      <c r="B241" s="2" t="s">
        <v>387</v>
      </c>
      <c r="C241" s="2">
        <v>6500</v>
      </c>
    </row>
    <row r="242" spans="2:10" x14ac:dyDescent="0.3">
      <c r="B242" s="2" t="s">
        <v>388</v>
      </c>
      <c r="C242" s="2">
        <f>C236/C241</f>
        <v>1.2307692307692308</v>
      </c>
    </row>
    <row r="243" spans="2:10" x14ac:dyDescent="0.3">
      <c r="B243" s="2" t="s">
        <v>389</v>
      </c>
      <c r="C243" s="15">
        <v>0.87</v>
      </c>
      <c r="D243" s="90" t="s">
        <v>577</v>
      </c>
    </row>
    <row r="244" spans="2:10" x14ac:dyDescent="0.3">
      <c r="B244" s="2" t="s">
        <v>390</v>
      </c>
      <c r="C244" s="15">
        <v>0.8</v>
      </c>
      <c r="D244" s="90" t="s">
        <v>391</v>
      </c>
    </row>
    <row r="245" spans="2:10" x14ac:dyDescent="0.3">
      <c r="B245" s="2" t="s">
        <v>392</v>
      </c>
      <c r="C245" s="2">
        <v>176</v>
      </c>
      <c r="D245" s="90" t="s">
        <v>578</v>
      </c>
    </row>
    <row r="246" spans="2:10" x14ac:dyDescent="0.3">
      <c r="B246" s="2" t="s">
        <v>393</v>
      </c>
      <c r="C246" s="2">
        <v>184</v>
      </c>
      <c r="D246" s="90" t="s">
        <v>578</v>
      </c>
    </row>
    <row r="247" spans="2:10" x14ac:dyDescent="0.3">
      <c r="B247" s="2" t="s">
        <v>394</v>
      </c>
      <c r="C247" s="77">
        <f>C246/C245</f>
        <v>1.0454545454545454</v>
      </c>
    </row>
    <row r="248" spans="2:10" x14ac:dyDescent="0.3">
      <c r="B248" s="2" t="s">
        <v>32</v>
      </c>
      <c r="C248" s="2">
        <f>C236*C240*C243*C244*C247</f>
        <v>18936008.727272727</v>
      </c>
    </row>
    <row r="249" spans="2:10" x14ac:dyDescent="0.3">
      <c r="B249" s="2" t="s">
        <v>395</v>
      </c>
      <c r="C249" s="2">
        <f>C238-C237</f>
        <v>13</v>
      </c>
    </row>
    <row r="250" spans="2:10" x14ac:dyDescent="0.3">
      <c r="B250" s="2" t="s">
        <v>301</v>
      </c>
      <c r="C250" s="13">
        <f>C249/C238</f>
        <v>0.32500000000000001</v>
      </c>
    </row>
    <row r="251" spans="2:10" x14ac:dyDescent="0.3">
      <c r="B251" s="2" t="s">
        <v>53</v>
      </c>
      <c r="C251" s="15">
        <f>C248*(1-C250)</f>
        <v>12781805.890909091</v>
      </c>
    </row>
    <row r="252" spans="2:10" x14ac:dyDescent="0.3">
      <c r="B252" s="2" t="s">
        <v>330</v>
      </c>
      <c r="C252" s="82">
        <f>ROUND(C251,-5)</f>
        <v>12800000</v>
      </c>
    </row>
    <row r="254" spans="2:10" ht="19.5" thickBot="1" x14ac:dyDescent="0.35"/>
    <row r="255" spans="2:10" ht="61.5" customHeight="1" thickBot="1" x14ac:dyDescent="0.35">
      <c r="B255" s="161" t="s">
        <v>396</v>
      </c>
      <c r="C255" s="162"/>
      <c r="D255" s="162"/>
      <c r="E255" s="162"/>
      <c r="F255" s="162"/>
      <c r="G255" s="162"/>
      <c r="H255" s="162"/>
      <c r="I255" s="162"/>
      <c r="J255" s="163"/>
    </row>
    <row r="258" spans="2:10" x14ac:dyDescent="0.3">
      <c r="B258" s="2"/>
      <c r="C258" s="19" t="s">
        <v>398</v>
      </c>
      <c r="D258" s="19" t="s">
        <v>399</v>
      </c>
      <c r="E258" s="19" t="s">
        <v>401</v>
      </c>
      <c r="F258" s="19" t="s">
        <v>400</v>
      </c>
    </row>
    <row r="259" spans="2:10" x14ac:dyDescent="0.3">
      <c r="B259" s="2" t="s">
        <v>397</v>
      </c>
      <c r="C259" s="78">
        <v>0.1</v>
      </c>
      <c r="D259" s="78">
        <v>1</v>
      </c>
      <c r="E259" s="78">
        <f>C259*D259</f>
        <v>0.1</v>
      </c>
      <c r="F259" s="79">
        <f>E259/E264</f>
        <v>0.30303030303030304</v>
      </c>
    </row>
    <row r="260" spans="2:10" x14ac:dyDescent="0.3">
      <c r="B260" s="2" t="s">
        <v>402</v>
      </c>
      <c r="C260" s="78">
        <v>0.15</v>
      </c>
      <c r="D260" s="78">
        <v>1</v>
      </c>
      <c r="E260" s="78">
        <f t="shared" ref="E260:E261" si="0">C260*D260</f>
        <v>0.15</v>
      </c>
      <c r="F260" s="79">
        <f>E260/E264</f>
        <v>0.45454545454545453</v>
      </c>
    </row>
    <row r="261" spans="2:10" x14ac:dyDescent="0.3">
      <c r="B261" s="2" t="s">
        <v>403</v>
      </c>
      <c r="C261" s="78">
        <v>0.2</v>
      </c>
      <c r="D261" s="78">
        <v>0.4</v>
      </c>
      <c r="E261" s="78">
        <f t="shared" si="0"/>
        <v>8.0000000000000016E-2</v>
      </c>
      <c r="F261" s="81">
        <f>E261/E264</f>
        <v>0.24242424242424246</v>
      </c>
      <c r="G261" s="90" t="s">
        <v>579</v>
      </c>
    </row>
    <row r="262" spans="2:10" x14ac:dyDescent="0.3">
      <c r="B262" s="2" t="s">
        <v>404</v>
      </c>
      <c r="C262" s="78">
        <v>0.15</v>
      </c>
      <c r="D262" s="78"/>
      <c r="E262" s="78"/>
      <c r="F262" s="78"/>
    </row>
    <row r="263" spans="2:10" x14ac:dyDescent="0.3">
      <c r="B263" s="2" t="s">
        <v>405</v>
      </c>
      <c r="C263" s="78">
        <v>0.4</v>
      </c>
      <c r="D263" s="78"/>
      <c r="E263" s="78"/>
      <c r="F263" s="78"/>
    </row>
    <row r="264" spans="2:10" x14ac:dyDescent="0.3">
      <c r="B264" s="2" t="s">
        <v>406</v>
      </c>
      <c r="C264" s="78">
        <f>SUM(C259:C263)</f>
        <v>1</v>
      </c>
      <c r="D264" s="78"/>
      <c r="E264" s="78">
        <f>SUM(E259:E263)</f>
        <v>0.33</v>
      </c>
      <c r="F264" s="78">
        <f>SUM(F259:F263)</f>
        <v>1</v>
      </c>
    </row>
    <row r="266" spans="2:10" ht="19.5" thickBot="1" x14ac:dyDescent="0.35"/>
    <row r="267" spans="2:10" ht="135.75" customHeight="1" thickBot="1" x14ac:dyDescent="0.35">
      <c r="B267" s="161" t="s">
        <v>656</v>
      </c>
      <c r="C267" s="162"/>
      <c r="D267" s="162"/>
      <c r="E267" s="162"/>
      <c r="F267" s="162"/>
      <c r="G267" s="162"/>
      <c r="H267" s="162"/>
      <c r="I267" s="162"/>
      <c r="J267" s="163"/>
    </row>
    <row r="270" spans="2:10" x14ac:dyDescent="0.3">
      <c r="B270" s="90" t="s">
        <v>417</v>
      </c>
    </row>
    <row r="271" spans="2:10" x14ac:dyDescent="0.3">
      <c r="B271" s="1" t="s">
        <v>302</v>
      </c>
      <c r="C271" s="1" t="s">
        <v>303</v>
      </c>
    </row>
    <row r="272" spans="2:10" x14ac:dyDescent="0.3">
      <c r="C272" s="1" t="s">
        <v>304</v>
      </c>
    </row>
    <row r="273" spans="2:3" x14ac:dyDescent="0.3">
      <c r="C273" s="1" t="s">
        <v>423</v>
      </c>
    </row>
    <row r="275" spans="2:3" x14ac:dyDescent="0.3">
      <c r="B275" s="15" t="s">
        <v>305</v>
      </c>
      <c r="C275" s="2"/>
    </row>
    <row r="276" spans="2:3" x14ac:dyDescent="0.3">
      <c r="B276" s="2" t="s">
        <v>2</v>
      </c>
      <c r="C276" s="2">
        <v>5000</v>
      </c>
    </row>
    <row r="277" spans="2:3" x14ac:dyDescent="0.3">
      <c r="B277" s="2" t="s">
        <v>3</v>
      </c>
      <c r="C277" s="2">
        <v>4500</v>
      </c>
    </row>
    <row r="278" spans="2:3" x14ac:dyDescent="0.3">
      <c r="B278" s="2" t="s">
        <v>306</v>
      </c>
      <c r="C278" s="2">
        <v>10000</v>
      </c>
    </row>
    <row r="279" spans="2:3" x14ac:dyDescent="0.3">
      <c r="B279" s="2" t="s">
        <v>48</v>
      </c>
      <c r="C279" s="5">
        <v>0.9</v>
      </c>
    </row>
    <row r="280" spans="2:3" x14ac:dyDescent="0.3">
      <c r="B280" s="2" t="s">
        <v>308</v>
      </c>
      <c r="C280" s="2">
        <v>1500</v>
      </c>
    </row>
    <row r="281" spans="2:3" x14ac:dyDescent="0.3">
      <c r="B281" s="2" t="s">
        <v>30</v>
      </c>
      <c r="C281" s="5">
        <v>0.12</v>
      </c>
    </row>
    <row r="282" spans="2:3" x14ac:dyDescent="0.3">
      <c r="B282" s="2" t="s">
        <v>424</v>
      </c>
      <c r="C282" s="2">
        <v>30000</v>
      </c>
    </row>
    <row r="283" spans="2:3" x14ac:dyDescent="0.3">
      <c r="B283" s="2" t="s">
        <v>309</v>
      </c>
      <c r="C283" s="5">
        <v>0.2</v>
      </c>
    </row>
    <row r="284" spans="2:3" x14ac:dyDescent="0.3">
      <c r="B284" s="14" t="s">
        <v>35</v>
      </c>
      <c r="C284" s="2"/>
    </row>
    <row r="285" spans="2:3" x14ac:dyDescent="0.3">
      <c r="B285" s="2" t="s">
        <v>19</v>
      </c>
      <c r="C285" s="2">
        <f>C277*C278</f>
        <v>45000000</v>
      </c>
    </row>
    <row r="286" spans="2:3" x14ac:dyDescent="0.3">
      <c r="B286" s="2" t="s">
        <v>49</v>
      </c>
      <c r="C286" s="2">
        <f>C285*C279</f>
        <v>40500000</v>
      </c>
    </row>
    <row r="287" spans="2:3" x14ac:dyDescent="0.3">
      <c r="B287" s="2" t="s">
        <v>307</v>
      </c>
      <c r="C287" s="2">
        <f>C280*C277</f>
        <v>6750000</v>
      </c>
    </row>
    <row r="288" spans="2:3" x14ac:dyDescent="0.3">
      <c r="B288" s="2" t="s">
        <v>55</v>
      </c>
      <c r="C288" s="2">
        <f>C286-C287</f>
        <v>33750000</v>
      </c>
    </row>
    <row r="289" spans="2:3" x14ac:dyDescent="0.3">
      <c r="B289" s="2" t="s">
        <v>38</v>
      </c>
      <c r="C289" s="15">
        <f>C288/C281</f>
        <v>281250000</v>
      </c>
    </row>
    <row r="290" spans="2:3" x14ac:dyDescent="0.3">
      <c r="B290" s="2" t="s">
        <v>425</v>
      </c>
      <c r="C290" s="15">
        <f>C282*C276</f>
        <v>150000000</v>
      </c>
    </row>
    <row r="291" spans="2:3" x14ac:dyDescent="0.3">
      <c r="B291" s="2" t="s">
        <v>43</v>
      </c>
      <c r="C291" s="15">
        <f>C289*C283</f>
        <v>56250000</v>
      </c>
    </row>
    <row r="292" spans="2:3" x14ac:dyDescent="0.3">
      <c r="B292" s="2" t="s">
        <v>310</v>
      </c>
      <c r="C292" s="15">
        <f>C289-C290-C291</f>
        <v>75000000</v>
      </c>
    </row>
    <row r="294" spans="2:3" x14ac:dyDescent="0.3">
      <c r="B294" s="15" t="s">
        <v>311</v>
      </c>
      <c r="C294" s="2"/>
    </row>
    <row r="295" spans="2:3" x14ac:dyDescent="0.3">
      <c r="B295" s="2" t="s">
        <v>2</v>
      </c>
      <c r="C295" s="2">
        <v>5000</v>
      </c>
    </row>
    <row r="296" spans="2:3" x14ac:dyDescent="0.3">
      <c r="B296" s="2" t="s">
        <v>312</v>
      </c>
      <c r="C296" s="2">
        <v>4000</v>
      </c>
    </row>
    <row r="297" spans="2:3" x14ac:dyDescent="0.3">
      <c r="B297" s="2" t="s">
        <v>313</v>
      </c>
      <c r="C297" s="2">
        <v>90000</v>
      </c>
    </row>
    <row r="298" spans="2:3" x14ac:dyDescent="0.3">
      <c r="B298" s="2" t="s">
        <v>426</v>
      </c>
      <c r="C298" s="2">
        <v>45000</v>
      </c>
    </row>
    <row r="299" spans="2:3" x14ac:dyDescent="0.3">
      <c r="B299" s="14" t="s">
        <v>35</v>
      </c>
      <c r="C299" s="5"/>
    </row>
    <row r="300" spans="2:3" x14ac:dyDescent="0.3">
      <c r="B300" s="2" t="s">
        <v>38</v>
      </c>
      <c r="C300" s="2">
        <f>C297*C296</f>
        <v>360000000</v>
      </c>
    </row>
    <row r="301" spans="2:3" x14ac:dyDescent="0.3">
      <c r="B301" s="2" t="s">
        <v>425</v>
      </c>
      <c r="C301" s="2">
        <f>C298*C295</f>
        <v>225000000</v>
      </c>
    </row>
    <row r="302" spans="2:3" x14ac:dyDescent="0.3">
      <c r="C302" s="1" t="s">
        <v>303</v>
      </c>
    </row>
    <row r="303" spans="2:3" x14ac:dyDescent="0.3">
      <c r="C303" s="1" t="s">
        <v>304</v>
      </c>
    </row>
    <row r="304" spans="2:3" x14ac:dyDescent="0.3">
      <c r="C304" s="1" t="s">
        <v>423</v>
      </c>
    </row>
    <row r="305" spans="2:10" x14ac:dyDescent="0.3">
      <c r="C305" s="1" t="s">
        <v>315</v>
      </c>
    </row>
    <row r="306" spans="2:10" x14ac:dyDescent="0.3">
      <c r="C306" s="1" t="s">
        <v>414</v>
      </c>
    </row>
    <row r="307" spans="2:10" x14ac:dyDescent="0.3">
      <c r="C307" s="22">
        <f>C300-C301-C292</f>
        <v>60000000</v>
      </c>
      <c r="D307" s="1" t="s">
        <v>415</v>
      </c>
    </row>
    <row r="308" spans="2:10" x14ac:dyDescent="0.3">
      <c r="C308" s="89">
        <f>C307/C300</f>
        <v>0.16666666666666666</v>
      </c>
      <c r="D308" s="1" t="s">
        <v>416</v>
      </c>
    </row>
    <row r="310" spans="2:10" ht="19.5" thickBot="1" x14ac:dyDescent="0.35"/>
    <row r="311" spans="2:10" ht="19.5" thickBot="1" x14ac:dyDescent="0.35">
      <c r="B311" s="161" t="s">
        <v>512</v>
      </c>
      <c r="C311" s="162"/>
      <c r="D311" s="162"/>
      <c r="E311" s="162"/>
      <c r="F311" s="162"/>
      <c r="G311" s="162"/>
      <c r="H311" s="162"/>
      <c r="I311" s="162"/>
      <c r="J311" s="163"/>
    </row>
    <row r="314" spans="2:10" x14ac:dyDescent="0.3">
      <c r="B314" s="2" t="s">
        <v>335</v>
      </c>
      <c r="C314" s="71">
        <v>2010</v>
      </c>
      <c r="D314" s="90" t="s">
        <v>513</v>
      </c>
    </row>
    <row r="315" spans="2:10" x14ac:dyDescent="0.3">
      <c r="B315" s="2" t="s">
        <v>273</v>
      </c>
      <c r="C315" s="71">
        <v>2018</v>
      </c>
      <c r="D315" s="90" t="s">
        <v>513</v>
      </c>
    </row>
    <row r="316" spans="2:10" x14ac:dyDescent="0.3">
      <c r="B316" s="2" t="s">
        <v>277</v>
      </c>
      <c r="C316" s="12">
        <v>25</v>
      </c>
    </row>
    <row r="317" spans="2:10" x14ac:dyDescent="0.3">
      <c r="B317" s="2" t="s">
        <v>395</v>
      </c>
      <c r="C317" s="12">
        <v>12</v>
      </c>
    </row>
    <row r="318" spans="2:10" x14ac:dyDescent="0.3">
      <c r="B318" s="2" t="s">
        <v>35</v>
      </c>
      <c r="C318" s="2"/>
    </row>
    <row r="319" spans="2:10" x14ac:dyDescent="0.3">
      <c r="B319" s="2" t="s">
        <v>299</v>
      </c>
      <c r="C319" s="100">
        <f>C316-C317</f>
        <v>13</v>
      </c>
    </row>
    <row r="321" spans="2:10" ht="19.5" thickBot="1" x14ac:dyDescent="0.35"/>
    <row r="322" spans="2:10" ht="96" customHeight="1" thickBot="1" x14ac:dyDescent="0.35">
      <c r="B322" s="161" t="s">
        <v>657</v>
      </c>
      <c r="C322" s="162"/>
      <c r="D322" s="162"/>
      <c r="E322" s="162"/>
      <c r="F322" s="162"/>
      <c r="G322" s="162"/>
      <c r="H322" s="162"/>
      <c r="I322" s="162"/>
      <c r="J322" s="163"/>
    </row>
    <row r="325" spans="2:10" x14ac:dyDescent="0.3">
      <c r="B325" s="2"/>
      <c r="C325" s="19" t="s">
        <v>153</v>
      </c>
      <c r="D325" s="19" t="s">
        <v>211</v>
      </c>
      <c r="E325" s="19" t="s">
        <v>212</v>
      </c>
      <c r="F325" s="19" t="s">
        <v>213</v>
      </c>
      <c r="G325" s="19" t="s">
        <v>419</v>
      </c>
      <c r="H325" s="19" t="s">
        <v>420</v>
      </c>
    </row>
    <row r="326" spans="2:10" x14ac:dyDescent="0.3">
      <c r="B326" s="2" t="s">
        <v>418</v>
      </c>
      <c r="C326" s="112">
        <f>D326*(C327/D327)^H327</f>
        <v>125794.13475322226</v>
      </c>
      <c r="D326" s="2">
        <v>110000</v>
      </c>
      <c r="E326" s="2">
        <v>100000</v>
      </c>
      <c r="F326" s="2">
        <v>140000</v>
      </c>
      <c r="G326" s="2">
        <f>LN(E326/F326)</f>
        <v>-0.33647223662121289</v>
      </c>
      <c r="H326" s="2"/>
    </row>
    <row r="327" spans="2:10" x14ac:dyDescent="0.3">
      <c r="B327" s="2" t="s">
        <v>318</v>
      </c>
      <c r="C327" s="2">
        <v>150</v>
      </c>
      <c r="D327" s="2">
        <v>120</v>
      </c>
      <c r="E327" s="2">
        <v>100</v>
      </c>
      <c r="F327" s="2">
        <v>175</v>
      </c>
      <c r="G327" s="2">
        <f>LN(E327/F327)</f>
        <v>-0.55961578793542277</v>
      </c>
      <c r="H327" s="2">
        <f>G326/G327</f>
        <v>0.60125579705774912</v>
      </c>
    </row>
    <row r="328" spans="2:10" x14ac:dyDescent="0.3">
      <c r="B328" s="2" t="s">
        <v>421</v>
      </c>
      <c r="C328" s="2">
        <v>1.7</v>
      </c>
      <c r="D328" s="2"/>
      <c r="E328" s="2"/>
      <c r="F328" s="2"/>
      <c r="G328" s="2"/>
      <c r="H328" s="2"/>
    </row>
    <row r="329" spans="2:10" x14ac:dyDescent="0.3">
      <c r="B329" s="2" t="s">
        <v>32</v>
      </c>
      <c r="C329" s="82">
        <f>C326*C328</f>
        <v>213850.02908047783</v>
      </c>
      <c r="D329" s="2"/>
      <c r="E329" s="2"/>
      <c r="F329" s="2"/>
      <c r="G329" s="2"/>
      <c r="H329" s="2"/>
    </row>
    <row r="332" spans="2:10" x14ac:dyDescent="0.3">
      <c r="B332" s="90" t="s">
        <v>580</v>
      </c>
    </row>
    <row r="333" spans="2:10" x14ac:dyDescent="0.3">
      <c r="B333" s="90" t="s">
        <v>581</v>
      </c>
    </row>
    <row r="334" spans="2:10" x14ac:dyDescent="0.3">
      <c r="B334" s="90" t="s">
        <v>582</v>
      </c>
    </row>
    <row r="336" spans="2:10" ht="19.5" thickBot="1" x14ac:dyDescent="0.35"/>
    <row r="337" spans="2:10" ht="40.5" customHeight="1" thickBot="1" x14ac:dyDescent="0.35">
      <c r="B337" s="161" t="s">
        <v>407</v>
      </c>
      <c r="C337" s="162"/>
      <c r="D337" s="162"/>
      <c r="E337" s="162"/>
      <c r="F337" s="162"/>
      <c r="G337" s="162"/>
      <c r="H337" s="162"/>
      <c r="I337" s="162"/>
      <c r="J337" s="163"/>
    </row>
    <row r="340" spans="2:10" x14ac:dyDescent="0.3">
      <c r="B340" s="2" t="s">
        <v>38</v>
      </c>
      <c r="C340" s="2">
        <v>10000000</v>
      </c>
    </row>
    <row r="341" spans="2:10" x14ac:dyDescent="0.3">
      <c r="B341" s="2" t="s">
        <v>342</v>
      </c>
      <c r="C341" s="2">
        <v>8000000</v>
      </c>
    </row>
    <row r="342" spans="2:10" x14ac:dyDescent="0.3">
      <c r="B342" s="2" t="s">
        <v>281</v>
      </c>
      <c r="C342" s="5">
        <v>0.2</v>
      </c>
    </row>
    <row r="343" spans="2:10" x14ac:dyDescent="0.3">
      <c r="B343" s="2" t="s">
        <v>282</v>
      </c>
      <c r="C343" s="5">
        <v>0.1</v>
      </c>
    </row>
    <row r="344" spans="2:10" x14ac:dyDescent="0.3">
      <c r="B344" s="14" t="s">
        <v>408</v>
      </c>
      <c r="C344" s="2"/>
    </row>
    <row r="345" spans="2:10" x14ac:dyDescent="0.3">
      <c r="B345" s="2" t="s">
        <v>409</v>
      </c>
      <c r="C345" s="5">
        <f>C342+C343</f>
        <v>0.30000000000000004</v>
      </c>
      <c r="D345" s="90" t="s">
        <v>583</v>
      </c>
    </row>
    <row r="346" spans="2:10" x14ac:dyDescent="0.3">
      <c r="B346" s="2" t="s">
        <v>333</v>
      </c>
      <c r="C346" s="2">
        <f>C341*(1-C345)</f>
        <v>5600000</v>
      </c>
    </row>
    <row r="347" spans="2:10" x14ac:dyDescent="0.3">
      <c r="B347" s="2" t="s">
        <v>45</v>
      </c>
      <c r="C347" s="82">
        <f>C340-C346</f>
        <v>4400000</v>
      </c>
    </row>
    <row r="348" spans="2:10" x14ac:dyDescent="0.3">
      <c r="B348" s="14" t="s">
        <v>410</v>
      </c>
      <c r="C348" s="2"/>
    </row>
    <row r="349" spans="2:10" x14ac:dyDescent="0.3">
      <c r="B349" s="2" t="s">
        <v>281</v>
      </c>
      <c r="C349" s="2">
        <f>C341*C342</f>
        <v>1600000</v>
      </c>
      <c r="D349" s="90" t="s">
        <v>584</v>
      </c>
    </row>
    <row r="350" spans="2:10" x14ac:dyDescent="0.3">
      <c r="B350" s="2" t="s">
        <v>282</v>
      </c>
      <c r="C350" s="2">
        <f>C341*C343</f>
        <v>800000</v>
      </c>
      <c r="D350" s="90" t="s">
        <v>584</v>
      </c>
    </row>
    <row r="351" spans="2:10" x14ac:dyDescent="0.3">
      <c r="B351" s="2" t="s">
        <v>333</v>
      </c>
      <c r="C351" s="2">
        <f>C341-C349-C350</f>
        <v>5600000</v>
      </c>
    </row>
    <row r="352" spans="2:10" x14ac:dyDescent="0.3">
      <c r="B352" s="2" t="s">
        <v>45</v>
      </c>
      <c r="C352" s="82">
        <f>C340-C351</f>
        <v>4400000</v>
      </c>
    </row>
    <row r="354" spans="2:10" ht="19.5" thickBot="1" x14ac:dyDescent="0.35"/>
    <row r="355" spans="2:10" ht="68.25" customHeight="1" thickBot="1" x14ac:dyDescent="0.35">
      <c r="B355" s="161" t="s">
        <v>589</v>
      </c>
      <c r="C355" s="162"/>
      <c r="D355" s="162"/>
      <c r="E355" s="162"/>
      <c r="F355" s="162"/>
      <c r="G355" s="162"/>
      <c r="H355" s="162"/>
      <c r="I355" s="162"/>
      <c r="J355" s="163"/>
    </row>
    <row r="357" spans="2:10" x14ac:dyDescent="0.3">
      <c r="B357" s="2" t="s">
        <v>32</v>
      </c>
      <c r="C357" s="2">
        <v>10000000</v>
      </c>
    </row>
    <row r="358" spans="2:10" x14ac:dyDescent="0.3">
      <c r="B358" s="2" t="s">
        <v>45</v>
      </c>
      <c r="C358" s="2">
        <v>2000000</v>
      </c>
    </row>
    <row r="359" spans="2:10" x14ac:dyDescent="0.3">
      <c r="B359" s="2" t="s">
        <v>43</v>
      </c>
      <c r="C359" s="95">
        <v>0.3</v>
      </c>
    </row>
    <row r="360" spans="2:10" x14ac:dyDescent="0.3">
      <c r="B360" s="14" t="s">
        <v>35</v>
      </c>
      <c r="C360" s="2"/>
    </row>
    <row r="361" spans="2:10" x14ac:dyDescent="0.3">
      <c r="B361" s="2" t="s">
        <v>590</v>
      </c>
      <c r="C361" s="2">
        <f>C357*(1+C359)</f>
        <v>13000000</v>
      </c>
    </row>
    <row r="362" spans="2:10" x14ac:dyDescent="0.3">
      <c r="B362" s="2" t="s">
        <v>591</v>
      </c>
      <c r="C362" s="82">
        <f>C358+C361</f>
        <v>15000000</v>
      </c>
    </row>
    <row r="364" spans="2:10" ht="19.5" thickBot="1" x14ac:dyDescent="0.35"/>
    <row r="365" spans="2:10" ht="60" customHeight="1" thickBot="1" x14ac:dyDescent="0.35">
      <c r="B365" s="161" t="s">
        <v>658</v>
      </c>
      <c r="C365" s="162"/>
      <c r="D365" s="162"/>
      <c r="E365" s="162"/>
      <c r="F365" s="162"/>
      <c r="G365" s="162"/>
      <c r="H365" s="162"/>
      <c r="I365" s="162"/>
      <c r="J365" s="163"/>
    </row>
    <row r="367" spans="2:10" x14ac:dyDescent="0.3">
      <c r="B367" s="2" t="s">
        <v>32</v>
      </c>
      <c r="C367" s="2">
        <v>500000</v>
      </c>
    </row>
    <row r="368" spans="2:10" x14ac:dyDescent="0.3">
      <c r="B368" s="2" t="s">
        <v>21</v>
      </c>
      <c r="C368" s="2">
        <v>50</v>
      </c>
    </row>
    <row r="369" spans="2:10" x14ac:dyDescent="0.3">
      <c r="B369" s="2" t="s">
        <v>20</v>
      </c>
      <c r="C369" s="2">
        <v>20</v>
      </c>
    </row>
    <row r="370" spans="2:10" x14ac:dyDescent="0.3">
      <c r="B370" s="2" t="s">
        <v>592</v>
      </c>
      <c r="C370" s="2">
        <v>25</v>
      </c>
    </row>
    <row r="371" spans="2:10" x14ac:dyDescent="0.3">
      <c r="B371" s="14" t="s">
        <v>35</v>
      </c>
      <c r="C371" s="2"/>
    </row>
    <row r="372" spans="2:10" x14ac:dyDescent="0.3">
      <c r="B372" s="2" t="s">
        <v>284</v>
      </c>
      <c r="C372" s="95">
        <f>C369/C368</f>
        <v>0.4</v>
      </c>
    </row>
    <row r="373" spans="2:10" x14ac:dyDescent="0.3">
      <c r="B373" s="2" t="s">
        <v>284</v>
      </c>
      <c r="C373" s="82">
        <f>C367*C372</f>
        <v>200000</v>
      </c>
    </row>
    <row r="376" spans="2:10" ht="19.5" thickBot="1" x14ac:dyDescent="0.35"/>
    <row r="377" spans="2:10" ht="136.9" customHeight="1" thickBot="1" x14ac:dyDescent="0.35">
      <c r="B377" s="161" t="s">
        <v>840</v>
      </c>
      <c r="C377" s="162"/>
      <c r="D377" s="162"/>
      <c r="E377" s="162"/>
      <c r="F377" s="162"/>
      <c r="G377" s="162"/>
      <c r="H377" s="162"/>
      <c r="I377" s="162"/>
      <c r="J377" s="163"/>
    </row>
    <row r="380" spans="2:10" x14ac:dyDescent="0.3">
      <c r="B380" s="2" t="s">
        <v>705</v>
      </c>
      <c r="C380" s="2">
        <v>100</v>
      </c>
    </row>
    <row r="381" spans="2:10" x14ac:dyDescent="0.3">
      <c r="B381" s="2" t="s">
        <v>706</v>
      </c>
      <c r="C381" s="2">
        <v>20</v>
      </c>
    </row>
    <row r="382" spans="2:10" x14ac:dyDescent="0.3">
      <c r="B382" s="2" t="s">
        <v>707</v>
      </c>
      <c r="C382" s="2">
        <v>30</v>
      </c>
    </row>
    <row r="383" spans="2:10" x14ac:dyDescent="0.3">
      <c r="B383" s="2" t="s">
        <v>708</v>
      </c>
      <c r="C383" s="2">
        <v>25</v>
      </c>
    </row>
    <row r="384" spans="2:10" x14ac:dyDescent="0.3">
      <c r="B384" s="2" t="s">
        <v>709</v>
      </c>
      <c r="C384" s="2">
        <v>0.6</v>
      </c>
    </row>
    <row r="385" spans="2:10" x14ac:dyDescent="0.3">
      <c r="B385" s="2" t="s">
        <v>275</v>
      </c>
      <c r="C385" s="2">
        <v>1</v>
      </c>
    </row>
    <row r="386" spans="2:10" x14ac:dyDescent="0.3">
      <c r="B386" s="2" t="s">
        <v>276</v>
      </c>
      <c r="C386" s="2">
        <v>1.3</v>
      </c>
    </row>
    <row r="387" spans="2:10" x14ac:dyDescent="0.3">
      <c r="B387" s="14" t="s">
        <v>710</v>
      </c>
      <c r="C387" s="2"/>
    </row>
    <row r="388" spans="2:10" x14ac:dyDescent="0.3">
      <c r="B388" s="2" t="s">
        <v>711</v>
      </c>
      <c r="C388" s="2">
        <f>C380/C384*C386</f>
        <v>216.66666666666669</v>
      </c>
    </row>
    <row r="389" spans="2:10" x14ac:dyDescent="0.3">
      <c r="B389" s="2" t="s">
        <v>712</v>
      </c>
      <c r="C389" s="2">
        <f>C381*C386</f>
        <v>26</v>
      </c>
    </row>
    <row r="390" spans="2:10" x14ac:dyDescent="0.3">
      <c r="B390" s="2" t="s">
        <v>713</v>
      </c>
      <c r="C390" s="2">
        <v>17</v>
      </c>
    </row>
    <row r="391" spans="2:10" x14ac:dyDescent="0.3">
      <c r="B391" s="2" t="s">
        <v>714</v>
      </c>
      <c r="C391" s="2">
        <v>7</v>
      </c>
    </row>
    <row r="392" spans="2:10" x14ac:dyDescent="0.3">
      <c r="B392" s="2" t="s">
        <v>715</v>
      </c>
      <c r="C392" s="138">
        <f>C390/C382</f>
        <v>0.56666666666666665</v>
      </c>
    </row>
    <row r="393" spans="2:10" x14ac:dyDescent="0.3">
      <c r="B393" s="2" t="s">
        <v>716</v>
      </c>
      <c r="C393" s="138">
        <f>C391/C383</f>
        <v>0.28000000000000003</v>
      </c>
    </row>
    <row r="394" spans="2:10" x14ac:dyDescent="0.3">
      <c r="B394" s="2" t="s">
        <v>717</v>
      </c>
      <c r="C394" s="2">
        <f>C388*(1-C392)</f>
        <v>93.8888888888889</v>
      </c>
    </row>
    <row r="395" spans="2:10" x14ac:dyDescent="0.3">
      <c r="B395" s="2" t="s">
        <v>718</v>
      </c>
      <c r="C395" s="2">
        <f>C389*(1-C393)</f>
        <v>18.72</v>
      </c>
    </row>
    <row r="396" spans="2:10" x14ac:dyDescent="0.3">
      <c r="B396" s="2" t="s">
        <v>65</v>
      </c>
      <c r="C396" s="82">
        <f>C394+C395</f>
        <v>112.6088888888889</v>
      </c>
    </row>
    <row r="399" spans="2:10" ht="19.5" thickBot="1" x14ac:dyDescent="0.35"/>
    <row r="400" spans="2:10" ht="38.450000000000003" customHeight="1" thickBot="1" x14ac:dyDescent="0.35">
      <c r="B400" s="161" t="s">
        <v>839</v>
      </c>
      <c r="C400" s="162"/>
      <c r="D400" s="162"/>
      <c r="E400" s="162"/>
      <c r="F400" s="162"/>
      <c r="G400" s="162"/>
      <c r="H400" s="162"/>
      <c r="I400" s="162"/>
      <c r="J400" s="163"/>
    </row>
    <row r="402" spans="2:10" x14ac:dyDescent="0.3">
      <c r="B402" s="2" t="s">
        <v>719</v>
      </c>
      <c r="C402" s="2">
        <v>25</v>
      </c>
    </row>
    <row r="403" spans="2:10" x14ac:dyDescent="0.3">
      <c r="B403" s="2" t="s">
        <v>720</v>
      </c>
      <c r="C403" s="2">
        <v>10</v>
      </c>
    </row>
    <row r="404" spans="2:10" x14ac:dyDescent="0.3">
      <c r="B404" s="2" t="s">
        <v>721</v>
      </c>
      <c r="C404" s="2">
        <v>4</v>
      </c>
    </row>
    <row r="405" spans="2:10" x14ac:dyDescent="0.3">
      <c r="B405" s="14" t="s">
        <v>710</v>
      </c>
      <c r="C405" s="2"/>
    </row>
    <row r="406" spans="2:10" x14ac:dyDescent="0.3">
      <c r="B406" s="2" t="s">
        <v>722</v>
      </c>
      <c r="C406" s="2">
        <f>C403-C404</f>
        <v>6</v>
      </c>
    </row>
    <row r="407" spans="2:10" x14ac:dyDescent="0.3">
      <c r="B407" s="2" t="s">
        <v>301</v>
      </c>
      <c r="C407" s="139">
        <f>C406/C402</f>
        <v>0.24</v>
      </c>
    </row>
    <row r="410" spans="2:10" ht="19.5" thickBot="1" x14ac:dyDescent="0.35"/>
    <row r="411" spans="2:10" ht="37.9" customHeight="1" thickBot="1" x14ac:dyDescent="0.35">
      <c r="B411" s="161" t="s">
        <v>838</v>
      </c>
      <c r="C411" s="162"/>
      <c r="D411" s="162"/>
      <c r="E411" s="162"/>
      <c r="F411" s="162"/>
      <c r="G411" s="162"/>
      <c r="H411" s="162"/>
      <c r="I411" s="162"/>
      <c r="J411" s="163"/>
    </row>
    <row r="413" spans="2:10" x14ac:dyDescent="0.3">
      <c r="B413" s="2" t="s">
        <v>723</v>
      </c>
      <c r="C413" s="2">
        <v>2</v>
      </c>
    </row>
    <row r="414" spans="2:10" x14ac:dyDescent="0.3">
      <c r="B414" s="2" t="s">
        <v>724</v>
      </c>
      <c r="C414" s="2">
        <v>2.5</v>
      </c>
    </row>
    <row r="415" spans="2:10" x14ac:dyDescent="0.3">
      <c r="B415" s="2" t="s">
        <v>725</v>
      </c>
      <c r="C415" s="95">
        <v>0.4</v>
      </c>
    </row>
    <row r="416" spans="2:10" x14ac:dyDescent="0.3">
      <c r="B416" s="2" t="s">
        <v>710</v>
      </c>
      <c r="C416" s="2"/>
    </row>
    <row r="417" spans="2:7" x14ac:dyDescent="0.3">
      <c r="B417" s="2" t="s">
        <v>726</v>
      </c>
      <c r="C417" s="2">
        <f>C414/C413</f>
        <v>1.25</v>
      </c>
    </row>
    <row r="418" spans="2:7" x14ac:dyDescent="0.3">
      <c r="B418" s="2" t="s">
        <v>727</v>
      </c>
      <c r="C418" s="2">
        <f>1+C415</f>
        <v>1.4</v>
      </c>
    </row>
    <row r="419" spans="2:7" x14ac:dyDescent="0.3">
      <c r="B419" s="2" t="s">
        <v>728</v>
      </c>
      <c r="C419" s="82">
        <f>C418/C417</f>
        <v>1.1199999999999999</v>
      </c>
      <c r="E419" s="147"/>
      <c r="F419" s="147"/>
      <c r="G419" s="147"/>
    </row>
    <row r="420" spans="2:7" x14ac:dyDescent="0.3">
      <c r="B420" s="2" t="s">
        <v>729</v>
      </c>
      <c r="C420" s="140">
        <f>C419-1</f>
        <v>0.11999999999999988</v>
      </c>
    </row>
  </sheetData>
  <mergeCells count="23">
    <mergeCell ref="B377:J377"/>
    <mergeCell ref="B400:J400"/>
    <mergeCell ref="B411:J411"/>
    <mergeCell ref="B62:J62"/>
    <mergeCell ref="B2:J2"/>
    <mergeCell ref="B19:J19"/>
    <mergeCell ref="B28:J28"/>
    <mergeCell ref="B44:J44"/>
    <mergeCell ref="B73:J73"/>
    <mergeCell ref="B267:J267"/>
    <mergeCell ref="B322:J322"/>
    <mergeCell ref="B116:J116"/>
    <mergeCell ref="B139:J139"/>
    <mergeCell ref="B151:J151"/>
    <mergeCell ref="B168:J168"/>
    <mergeCell ref="B203:J203"/>
    <mergeCell ref="C75:J75"/>
    <mergeCell ref="B355:J355"/>
    <mergeCell ref="B365:J365"/>
    <mergeCell ref="B190:J190"/>
    <mergeCell ref="B311:J311"/>
    <mergeCell ref="B255:J255"/>
    <mergeCell ref="B337:J337"/>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F1390-1FDE-4F71-B235-E9FA436961E9}">
  <dimension ref="A1:J591"/>
  <sheetViews>
    <sheetView zoomScale="115" zoomScaleNormal="115" workbookViewId="0"/>
  </sheetViews>
  <sheetFormatPr defaultColWidth="9.140625" defaultRowHeight="18.75" x14ac:dyDescent="0.3"/>
  <cols>
    <col min="1" max="1" width="4.42578125" style="1" customWidth="1"/>
    <col min="2" max="2" width="45.140625" style="1" bestFit="1" customWidth="1"/>
    <col min="3" max="10" width="18.140625" style="1" customWidth="1"/>
    <col min="11" max="16384" width="9.140625" style="1"/>
  </cols>
  <sheetData>
    <row r="1" spans="2:10" ht="19.5" thickBot="1" x14ac:dyDescent="0.35"/>
    <row r="2" spans="2:10" ht="85.5" customHeight="1" thickBot="1" x14ac:dyDescent="0.35">
      <c r="B2" s="161" t="s">
        <v>659</v>
      </c>
      <c r="C2" s="162"/>
      <c r="D2" s="162"/>
      <c r="E2" s="162"/>
      <c r="F2" s="162"/>
      <c r="G2" s="162"/>
      <c r="H2" s="162"/>
      <c r="I2" s="162"/>
      <c r="J2" s="163"/>
    </row>
    <row r="5" spans="2:10" x14ac:dyDescent="0.3">
      <c r="B5" s="2" t="s">
        <v>130</v>
      </c>
      <c r="C5" s="2">
        <v>1000000</v>
      </c>
    </row>
    <row r="6" spans="2:10" x14ac:dyDescent="0.3">
      <c r="B6" s="2" t="s">
        <v>131</v>
      </c>
      <c r="C6" s="2">
        <v>50</v>
      </c>
    </row>
    <row r="7" spans="2:10" x14ac:dyDescent="0.3">
      <c r="B7" s="2" t="s">
        <v>132</v>
      </c>
      <c r="C7" s="2">
        <v>8000</v>
      </c>
    </row>
    <row r="8" spans="2:10" x14ac:dyDescent="0.3">
      <c r="B8" s="2" t="s">
        <v>133</v>
      </c>
      <c r="C8" s="2">
        <v>150000</v>
      </c>
    </row>
    <row r="9" spans="2:10" x14ac:dyDescent="0.3">
      <c r="B9" s="14" t="s">
        <v>35</v>
      </c>
      <c r="C9" s="2"/>
    </row>
    <row r="10" spans="2:10" x14ac:dyDescent="0.3">
      <c r="B10" s="2" t="s">
        <v>134</v>
      </c>
      <c r="C10" s="2">
        <f>C7*C6</f>
        <v>400000</v>
      </c>
    </row>
    <row r="11" spans="2:10" x14ac:dyDescent="0.3">
      <c r="B11" s="2" t="s">
        <v>135</v>
      </c>
      <c r="C11" s="82">
        <f>C5-C10-C8</f>
        <v>450000</v>
      </c>
      <c r="D11" s="90" t="s">
        <v>535</v>
      </c>
    </row>
    <row r="13" spans="2:10" ht="19.5" thickBot="1" x14ac:dyDescent="0.35"/>
    <row r="14" spans="2:10" ht="39" customHeight="1" thickBot="1" x14ac:dyDescent="0.35">
      <c r="B14" s="161" t="s">
        <v>136</v>
      </c>
      <c r="C14" s="162"/>
      <c r="D14" s="162"/>
      <c r="E14" s="162"/>
      <c r="F14" s="162"/>
      <c r="G14" s="162"/>
      <c r="H14" s="162"/>
      <c r="I14" s="162"/>
      <c r="J14" s="163"/>
    </row>
    <row r="17" spans="2:10" x14ac:dyDescent="0.3">
      <c r="B17" s="2" t="s">
        <v>137</v>
      </c>
      <c r="C17" s="2">
        <v>1300000</v>
      </c>
    </row>
    <row r="18" spans="2:10" x14ac:dyDescent="0.3">
      <c r="B18" s="2" t="s">
        <v>138</v>
      </c>
      <c r="C18" s="2">
        <v>900000</v>
      </c>
    </row>
    <row r="19" spans="2:10" x14ac:dyDescent="0.3">
      <c r="B19" s="2" t="s">
        <v>139</v>
      </c>
      <c r="C19" s="2">
        <v>8400000</v>
      </c>
    </row>
    <row r="20" spans="2:10" x14ac:dyDescent="0.3">
      <c r="B20" s="14" t="s">
        <v>35</v>
      </c>
      <c r="C20" s="2"/>
    </row>
    <row r="21" spans="2:10" x14ac:dyDescent="0.3">
      <c r="B21" s="2" t="s">
        <v>140</v>
      </c>
      <c r="C21" s="18">
        <f>C18/C19</f>
        <v>0.10714285714285714</v>
      </c>
    </row>
    <row r="22" spans="2:10" x14ac:dyDescent="0.3">
      <c r="B22" s="2" t="s">
        <v>65</v>
      </c>
      <c r="C22" s="82">
        <f>C17/C21</f>
        <v>12133333.333333334</v>
      </c>
    </row>
    <row r="25" spans="2:10" x14ac:dyDescent="0.3">
      <c r="B25" s="90" t="s">
        <v>565</v>
      </c>
    </row>
    <row r="26" spans="2:10" x14ac:dyDescent="0.3">
      <c r="B26" s="90" t="s">
        <v>536</v>
      </c>
    </row>
    <row r="28" spans="2:10" ht="19.5" thickBot="1" x14ac:dyDescent="0.35"/>
    <row r="29" spans="2:10" ht="40.5" customHeight="1" thickBot="1" x14ac:dyDescent="0.35">
      <c r="B29" s="161" t="s">
        <v>141</v>
      </c>
      <c r="C29" s="162"/>
      <c r="D29" s="162"/>
      <c r="E29" s="162"/>
      <c r="F29" s="162"/>
      <c r="G29" s="162"/>
      <c r="H29" s="162"/>
      <c r="I29" s="162"/>
      <c r="J29" s="163"/>
    </row>
    <row r="32" spans="2:10" x14ac:dyDescent="0.3">
      <c r="B32" s="2" t="s">
        <v>142</v>
      </c>
      <c r="C32" s="2">
        <v>50</v>
      </c>
    </row>
    <row r="33" spans="2:10" x14ac:dyDescent="0.3">
      <c r="B33" s="2" t="s">
        <v>143</v>
      </c>
      <c r="C33" s="2">
        <v>70</v>
      </c>
    </row>
    <row r="34" spans="2:10" x14ac:dyDescent="0.3">
      <c r="B34" s="14" t="s">
        <v>35</v>
      </c>
      <c r="C34" s="2"/>
    </row>
    <row r="35" spans="2:10" x14ac:dyDescent="0.3">
      <c r="B35" s="2" t="s">
        <v>144</v>
      </c>
      <c r="C35" s="2">
        <f>500-2*C32</f>
        <v>400</v>
      </c>
      <c r="D35" s="90" t="s">
        <v>538</v>
      </c>
    </row>
    <row r="36" spans="2:10" x14ac:dyDescent="0.3">
      <c r="B36" s="2" t="s">
        <v>145</v>
      </c>
      <c r="C36" s="2">
        <f>500-2*C33</f>
        <v>360</v>
      </c>
      <c r="D36" s="90" t="s">
        <v>539</v>
      </c>
    </row>
    <row r="37" spans="2:10" x14ac:dyDescent="0.3">
      <c r="B37" s="2" t="s">
        <v>147</v>
      </c>
      <c r="C37" s="2">
        <f>C35/C36</f>
        <v>1.1111111111111112</v>
      </c>
      <c r="D37" s="90" t="s">
        <v>537</v>
      </c>
    </row>
    <row r="38" spans="2:10" x14ac:dyDescent="0.3">
      <c r="B38" s="2" t="s">
        <v>146</v>
      </c>
      <c r="C38" s="85">
        <f>C35/C36-1</f>
        <v>0.11111111111111116</v>
      </c>
      <c r="D38" s="90" t="s">
        <v>540</v>
      </c>
    </row>
    <row r="40" spans="2:10" ht="19.5" thickBot="1" x14ac:dyDescent="0.35"/>
    <row r="41" spans="2:10" ht="19.5" thickBot="1" x14ac:dyDescent="0.35">
      <c r="B41" s="161" t="s">
        <v>148</v>
      </c>
      <c r="C41" s="162"/>
      <c r="D41" s="162"/>
      <c r="E41" s="162"/>
      <c r="F41" s="162"/>
      <c r="G41" s="162"/>
      <c r="H41" s="162"/>
      <c r="I41" s="162"/>
      <c r="J41" s="163"/>
    </row>
    <row r="44" spans="2:10" x14ac:dyDescent="0.3">
      <c r="B44" s="2" t="s">
        <v>149</v>
      </c>
      <c r="C44" s="2">
        <v>6</v>
      </c>
    </row>
    <row r="45" spans="2:10" x14ac:dyDescent="0.3">
      <c r="B45" s="2" t="s">
        <v>150</v>
      </c>
      <c r="C45" s="5">
        <v>0.02</v>
      </c>
    </row>
    <row r="46" spans="2:10" x14ac:dyDescent="0.3">
      <c r="B46" s="2" t="s">
        <v>146</v>
      </c>
      <c r="C46" s="85">
        <f>(1+C45)^C44-1</f>
        <v>0.12616241926400007</v>
      </c>
      <c r="D46" s="90" t="s">
        <v>541</v>
      </c>
    </row>
    <row r="48" spans="2:10" ht="19.5" thickBot="1" x14ac:dyDescent="0.35"/>
    <row r="49" spans="2:10" ht="19.5" thickBot="1" x14ac:dyDescent="0.35">
      <c r="B49" s="161" t="s">
        <v>494</v>
      </c>
      <c r="C49" s="162"/>
      <c r="D49" s="162"/>
      <c r="E49" s="162"/>
      <c r="F49" s="162"/>
      <c r="G49" s="162"/>
      <c r="H49" s="162"/>
      <c r="I49" s="162"/>
      <c r="J49" s="163"/>
    </row>
    <row r="52" spans="2:10" x14ac:dyDescent="0.3">
      <c r="B52" s="2" t="s">
        <v>495</v>
      </c>
      <c r="C52" s="2">
        <v>1000</v>
      </c>
    </row>
    <row r="53" spans="2:10" x14ac:dyDescent="0.3">
      <c r="B53" s="2" t="s">
        <v>428</v>
      </c>
      <c r="C53" s="2">
        <v>1.5</v>
      </c>
    </row>
    <row r="54" spans="2:10" x14ac:dyDescent="0.3">
      <c r="B54" s="2" t="s">
        <v>429</v>
      </c>
      <c r="C54" s="2">
        <v>3.45</v>
      </c>
    </row>
    <row r="55" spans="2:10" x14ac:dyDescent="0.3">
      <c r="B55" s="14" t="s">
        <v>35</v>
      </c>
      <c r="C55" s="2"/>
    </row>
    <row r="56" spans="2:10" x14ac:dyDescent="0.3">
      <c r="B56" s="2" t="s">
        <v>466</v>
      </c>
      <c r="C56" s="2">
        <f>C53*C54</f>
        <v>5.1750000000000007</v>
      </c>
      <c r="D56" s="90" t="s">
        <v>497</v>
      </c>
    </row>
    <row r="57" spans="2:10" x14ac:dyDescent="0.3">
      <c r="B57" s="2" t="s">
        <v>496</v>
      </c>
      <c r="C57" s="82">
        <f>C52*C56</f>
        <v>5175.0000000000009</v>
      </c>
    </row>
    <row r="59" spans="2:10" ht="19.5" thickBot="1" x14ac:dyDescent="0.35"/>
    <row r="60" spans="2:10" ht="99.75" customHeight="1" thickBot="1" x14ac:dyDescent="0.35">
      <c r="B60" s="161" t="s">
        <v>663</v>
      </c>
      <c r="C60" s="162"/>
      <c r="D60" s="162"/>
      <c r="E60" s="162"/>
      <c r="F60" s="162"/>
      <c r="G60" s="162"/>
      <c r="H60" s="162"/>
      <c r="I60" s="162"/>
      <c r="J60" s="163"/>
    </row>
    <row r="63" spans="2:10" ht="19.5" thickBot="1" x14ac:dyDescent="0.35">
      <c r="B63" s="1" t="s">
        <v>209</v>
      </c>
    </row>
    <row r="64" spans="2:10" ht="19.5" thickBot="1" x14ac:dyDescent="0.35">
      <c r="B64" s="29" t="s">
        <v>210</v>
      </c>
      <c r="C64" s="30" t="s">
        <v>153</v>
      </c>
      <c r="D64" s="30" t="s">
        <v>211</v>
      </c>
      <c r="E64" s="30" t="s">
        <v>212</v>
      </c>
      <c r="F64" s="31" t="s">
        <v>213</v>
      </c>
    </row>
    <row r="65" spans="2:6" x14ac:dyDescent="0.3">
      <c r="B65" s="32" t="s">
        <v>214</v>
      </c>
      <c r="C65" s="33" t="s">
        <v>215</v>
      </c>
      <c r="D65" s="33" t="s">
        <v>215</v>
      </c>
      <c r="E65" s="33" t="s">
        <v>216</v>
      </c>
      <c r="F65" s="34" t="s">
        <v>215</v>
      </c>
    </row>
    <row r="66" spans="2:6" x14ac:dyDescent="0.3">
      <c r="B66" s="35" t="s">
        <v>217</v>
      </c>
      <c r="C66" s="3">
        <v>2</v>
      </c>
      <c r="D66" s="3">
        <v>2</v>
      </c>
      <c r="E66" s="3">
        <v>3</v>
      </c>
      <c r="F66" s="36">
        <v>2</v>
      </c>
    </row>
    <row r="67" spans="2:6" x14ac:dyDescent="0.3">
      <c r="B67" s="35" t="s">
        <v>218</v>
      </c>
      <c r="C67" s="19" t="s">
        <v>219</v>
      </c>
      <c r="D67" s="19" t="s">
        <v>219</v>
      </c>
      <c r="E67" s="19" t="s">
        <v>220</v>
      </c>
      <c r="F67" s="37" t="s">
        <v>219</v>
      </c>
    </row>
    <row r="68" spans="2:6" x14ac:dyDescent="0.3">
      <c r="B68" s="35" t="s">
        <v>185</v>
      </c>
      <c r="C68" s="19" t="s">
        <v>221</v>
      </c>
      <c r="D68" s="19" t="s">
        <v>221</v>
      </c>
      <c r="E68" s="19" t="s">
        <v>221</v>
      </c>
      <c r="F68" s="37" t="s">
        <v>222</v>
      </c>
    </row>
    <row r="69" spans="2:6" x14ac:dyDescent="0.3">
      <c r="B69" s="35" t="s">
        <v>223</v>
      </c>
      <c r="C69" s="3">
        <v>3</v>
      </c>
      <c r="D69" s="3">
        <v>3</v>
      </c>
      <c r="E69" s="3">
        <v>3</v>
      </c>
      <c r="F69" s="36">
        <v>1</v>
      </c>
    </row>
    <row r="70" spans="2:6" x14ac:dyDescent="0.3">
      <c r="B70" s="35" t="s">
        <v>224</v>
      </c>
      <c r="C70" s="2"/>
      <c r="D70" s="2">
        <v>170000</v>
      </c>
      <c r="E70" s="2">
        <v>170000</v>
      </c>
      <c r="F70" s="38">
        <v>120000</v>
      </c>
    </row>
    <row r="71" spans="2:6" x14ac:dyDescent="0.3">
      <c r="B71" s="35" t="s">
        <v>225</v>
      </c>
      <c r="C71" s="2"/>
      <c r="D71" s="2"/>
      <c r="E71" s="2"/>
      <c r="F71" s="38"/>
    </row>
    <row r="72" spans="2:6" x14ac:dyDescent="0.3">
      <c r="B72" s="35" t="s">
        <v>226</v>
      </c>
      <c r="C72" s="2"/>
      <c r="D72" s="2"/>
      <c r="E72" s="2"/>
      <c r="F72" s="38"/>
    </row>
    <row r="73" spans="2:6" x14ac:dyDescent="0.3">
      <c r="B73" s="35" t="s">
        <v>227</v>
      </c>
      <c r="C73" s="2"/>
      <c r="D73" s="2"/>
      <c r="E73" s="2"/>
      <c r="F73" s="38"/>
    </row>
    <row r="74" spans="2:6" x14ac:dyDescent="0.3">
      <c r="B74" s="35" t="s">
        <v>228</v>
      </c>
      <c r="C74" s="2"/>
      <c r="D74" s="2"/>
      <c r="E74" s="2"/>
      <c r="F74" s="38"/>
    </row>
    <row r="75" spans="2:6" x14ac:dyDescent="0.3">
      <c r="B75" s="35" t="s">
        <v>229</v>
      </c>
      <c r="C75" s="2"/>
      <c r="D75" s="2"/>
      <c r="E75" s="2"/>
      <c r="F75" s="38"/>
    </row>
    <row r="76" spans="2:6" x14ac:dyDescent="0.3">
      <c r="B76" s="35" t="s">
        <v>230</v>
      </c>
      <c r="C76" s="2"/>
      <c r="D76" s="2"/>
      <c r="E76" s="2"/>
      <c r="F76" s="38"/>
    </row>
    <row r="77" spans="2:6" ht="19.5" thickBot="1" x14ac:dyDescent="0.35">
      <c r="B77" s="39" t="s">
        <v>231</v>
      </c>
      <c r="C77" s="40"/>
      <c r="D77" s="40"/>
      <c r="E77" s="40"/>
      <c r="F77" s="41"/>
    </row>
    <row r="80" spans="2:6" ht="19.5" thickBot="1" x14ac:dyDescent="0.35">
      <c r="B80" s="1" t="s">
        <v>232</v>
      </c>
    </row>
    <row r="81" spans="2:5" ht="38.25" thickBot="1" x14ac:dyDescent="0.35">
      <c r="B81" s="42" t="s">
        <v>233</v>
      </c>
      <c r="C81" s="125" t="s">
        <v>234</v>
      </c>
      <c r="D81" s="126" t="s">
        <v>235</v>
      </c>
    </row>
    <row r="82" spans="2:5" x14ac:dyDescent="0.3">
      <c r="B82" s="127" t="s">
        <v>221</v>
      </c>
      <c r="C82" s="45">
        <v>181500</v>
      </c>
      <c r="D82" s="46">
        <v>165000</v>
      </c>
    </row>
    <row r="83" spans="2:5" x14ac:dyDescent="0.3">
      <c r="B83" s="128" t="s">
        <v>236</v>
      </c>
      <c r="C83" s="3">
        <v>169400</v>
      </c>
      <c r="D83" s="36">
        <v>154000</v>
      </c>
    </row>
    <row r="84" spans="2:5" ht="19.5" thickBot="1" x14ac:dyDescent="0.35">
      <c r="B84" s="129" t="s">
        <v>222</v>
      </c>
      <c r="C84" s="47">
        <v>154000</v>
      </c>
      <c r="D84" s="48">
        <v>140000</v>
      </c>
    </row>
    <row r="87" spans="2:5" ht="19.5" thickBot="1" x14ac:dyDescent="0.35">
      <c r="B87" s="1" t="s">
        <v>237</v>
      </c>
    </row>
    <row r="88" spans="2:5" ht="38.25" thickBot="1" x14ac:dyDescent="0.35">
      <c r="B88" s="42" t="s">
        <v>218</v>
      </c>
      <c r="C88" s="44" t="s">
        <v>238</v>
      </c>
    </row>
    <row r="89" spans="2:5" x14ac:dyDescent="0.3">
      <c r="B89" s="32" t="s">
        <v>219</v>
      </c>
      <c r="C89" s="46">
        <v>152000</v>
      </c>
    </row>
    <row r="90" spans="2:5" x14ac:dyDescent="0.3">
      <c r="B90" s="35" t="s">
        <v>220</v>
      </c>
      <c r="C90" s="36">
        <v>160000</v>
      </c>
    </row>
    <row r="91" spans="2:5" ht="19.5" thickBot="1" x14ac:dyDescent="0.35">
      <c r="B91" s="39" t="s">
        <v>239</v>
      </c>
      <c r="C91" s="48">
        <v>193000</v>
      </c>
    </row>
    <row r="94" spans="2:5" ht="19.5" thickBot="1" x14ac:dyDescent="0.35">
      <c r="B94" s="1" t="s">
        <v>240</v>
      </c>
    </row>
    <row r="95" spans="2:5" ht="94.5" thickBot="1" x14ac:dyDescent="0.35">
      <c r="B95" s="42" t="s">
        <v>241</v>
      </c>
      <c r="C95" s="44" t="s">
        <v>242</v>
      </c>
      <c r="E95" s="98" t="s">
        <v>493</v>
      </c>
    </row>
    <row r="96" spans="2:5" x14ac:dyDescent="0.3">
      <c r="B96" s="32" t="s">
        <v>243</v>
      </c>
      <c r="C96" s="49">
        <v>-0.1</v>
      </c>
      <c r="D96" s="70"/>
      <c r="E96" s="99">
        <f>1*(1-15%)*(1-10%)</f>
        <v>0.76500000000000001</v>
      </c>
    </row>
    <row r="97" spans="2:5" x14ac:dyDescent="0.3">
      <c r="B97" s="35" t="s">
        <v>244</v>
      </c>
      <c r="C97" s="50">
        <v>-0.15</v>
      </c>
      <c r="E97" s="99">
        <f>1*(1-15%)</f>
        <v>0.85</v>
      </c>
    </row>
    <row r="98" spans="2:5" ht="19.5" thickBot="1" x14ac:dyDescent="0.35">
      <c r="B98" s="39" t="s">
        <v>245</v>
      </c>
      <c r="C98" s="51">
        <v>0</v>
      </c>
      <c r="E98" s="99">
        <v>1</v>
      </c>
    </row>
    <row r="101" spans="2:5" ht="19.5" thickBot="1" x14ac:dyDescent="0.35">
      <c r="B101" s="1" t="s">
        <v>246</v>
      </c>
    </row>
    <row r="102" spans="2:5" ht="75.75" thickBot="1" x14ac:dyDescent="0.35">
      <c r="B102" s="42" t="s">
        <v>217</v>
      </c>
      <c r="C102" s="44" t="s">
        <v>247</v>
      </c>
    </row>
    <row r="103" spans="2:5" x14ac:dyDescent="0.3">
      <c r="B103" s="52">
        <v>1</v>
      </c>
      <c r="C103" s="49">
        <v>0</v>
      </c>
    </row>
    <row r="104" spans="2:5" x14ac:dyDescent="0.3">
      <c r="B104" s="53">
        <v>2</v>
      </c>
      <c r="C104" s="50">
        <v>-0.05</v>
      </c>
    </row>
    <row r="105" spans="2:5" ht="19.5" thickBot="1" x14ac:dyDescent="0.35">
      <c r="B105" s="54">
        <v>3</v>
      </c>
      <c r="C105" s="51">
        <v>-0.1</v>
      </c>
    </row>
    <row r="112" spans="2:5" ht="19.5" thickBot="1" x14ac:dyDescent="0.35"/>
    <row r="113" spans="2:10" ht="19.5" thickBot="1" x14ac:dyDescent="0.35">
      <c r="B113" s="55" t="s">
        <v>210</v>
      </c>
      <c r="C113" s="56" t="s">
        <v>153</v>
      </c>
      <c r="D113" s="56" t="s">
        <v>211</v>
      </c>
      <c r="E113" s="56" t="s">
        <v>212</v>
      </c>
      <c r="F113" s="57" t="s">
        <v>213</v>
      </c>
    </row>
    <row r="114" spans="2:10" x14ac:dyDescent="0.3">
      <c r="B114" s="58" t="s">
        <v>248</v>
      </c>
      <c r="C114" s="59"/>
      <c r="D114" s="60">
        <v>-7.0000000000000007E-2</v>
      </c>
      <c r="E114" s="60">
        <v>-7.0000000000000007E-2</v>
      </c>
      <c r="F114" s="61">
        <v>-7.0000000000000007E-2</v>
      </c>
    </row>
    <row r="115" spans="2:10" x14ac:dyDescent="0.3">
      <c r="B115" s="62" t="s">
        <v>249</v>
      </c>
      <c r="C115" s="63"/>
      <c r="D115" s="64">
        <f>1+D114</f>
        <v>0.92999999999999994</v>
      </c>
      <c r="E115" s="64">
        <f t="shared" ref="E115:F115" si="0">1+E114</f>
        <v>0.92999999999999994</v>
      </c>
      <c r="F115" s="65">
        <f t="shared" si="0"/>
        <v>0.92999999999999994</v>
      </c>
    </row>
    <row r="116" spans="2:10" x14ac:dyDescent="0.3">
      <c r="B116" s="66" t="s">
        <v>250</v>
      </c>
      <c r="C116" s="17" t="s">
        <v>251</v>
      </c>
      <c r="D116" s="17" t="s">
        <v>251</v>
      </c>
      <c r="E116" s="17" t="s">
        <v>252</v>
      </c>
      <c r="F116" s="67" t="s">
        <v>251</v>
      </c>
    </row>
    <row r="117" spans="2:10" x14ac:dyDescent="0.3">
      <c r="B117" s="62" t="s">
        <v>253</v>
      </c>
      <c r="C117" s="17">
        <v>181500</v>
      </c>
      <c r="D117" s="17"/>
      <c r="E117" s="17">
        <v>165000</v>
      </c>
      <c r="F117" s="67"/>
    </row>
    <row r="118" spans="2:10" x14ac:dyDescent="0.3">
      <c r="B118" s="62" t="s">
        <v>254</v>
      </c>
      <c r="C118" s="63"/>
      <c r="D118" s="64">
        <v>1</v>
      </c>
      <c r="E118" s="64">
        <f>C117/E117</f>
        <v>1.1000000000000001</v>
      </c>
      <c r="F118" s="65">
        <v>1</v>
      </c>
      <c r="G118" s="68" t="s">
        <v>255</v>
      </c>
      <c r="H118" s="21" t="s">
        <v>146</v>
      </c>
      <c r="I118" s="21" t="s">
        <v>256</v>
      </c>
    </row>
    <row r="119" spans="2:10" x14ac:dyDescent="0.3">
      <c r="B119" s="66" t="s">
        <v>257</v>
      </c>
      <c r="C119" s="16">
        <v>2</v>
      </c>
      <c r="D119" s="16">
        <v>2</v>
      </c>
      <c r="E119" s="16">
        <v>3</v>
      </c>
      <c r="F119" s="69">
        <v>2</v>
      </c>
      <c r="G119" s="20">
        <v>1</v>
      </c>
      <c r="H119" s="10">
        <v>0</v>
      </c>
      <c r="I119" s="1">
        <v>1</v>
      </c>
    </row>
    <row r="120" spans="2:10" x14ac:dyDescent="0.3">
      <c r="B120" s="62" t="s">
        <v>253</v>
      </c>
      <c r="C120" s="17">
        <v>0.95</v>
      </c>
      <c r="D120" s="17"/>
      <c r="E120" s="17">
        <v>0.9</v>
      </c>
      <c r="F120" s="67"/>
      <c r="G120" s="20">
        <v>2</v>
      </c>
      <c r="H120" s="10">
        <v>-0.05</v>
      </c>
      <c r="I120" s="1">
        <f>I119*(1+H120)</f>
        <v>0.95</v>
      </c>
    </row>
    <row r="121" spans="2:10" x14ac:dyDescent="0.3">
      <c r="B121" s="62" t="s">
        <v>258</v>
      </c>
      <c r="C121" s="63"/>
      <c r="D121" s="64">
        <v>1</v>
      </c>
      <c r="E121" s="64">
        <f>C120/E120</f>
        <v>1.0555555555555556</v>
      </c>
      <c r="F121" s="65">
        <v>1</v>
      </c>
      <c r="G121" s="20">
        <v>3</v>
      </c>
      <c r="H121" s="10">
        <v>-0.1</v>
      </c>
      <c r="I121" s="1">
        <f>I119*(1+H121)</f>
        <v>0.9</v>
      </c>
    </row>
    <row r="122" spans="2:10" x14ac:dyDescent="0.3">
      <c r="B122" s="66" t="s">
        <v>259</v>
      </c>
      <c r="C122" s="17" t="s">
        <v>219</v>
      </c>
      <c r="D122" s="17" t="s">
        <v>219</v>
      </c>
      <c r="E122" s="17" t="s">
        <v>220</v>
      </c>
      <c r="F122" s="67" t="s">
        <v>219</v>
      </c>
    </row>
    <row r="123" spans="2:10" x14ac:dyDescent="0.3">
      <c r="B123" s="62" t="s">
        <v>253</v>
      </c>
      <c r="C123" s="17">
        <v>152000</v>
      </c>
      <c r="D123" s="17"/>
      <c r="E123" s="17">
        <v>160000</v>
      </c>
      <c r="F123" s="67"/>
    </row>
    <row r="124" spans="2:10" x14ac:dyDescent="0.3">
      <c r="B124" s="62" t="s">
        <v>260</v>
      </c>
      <c r="C124" s="63"/>
      <c r="D124" s="64">
        <v>1</v>
      </c>
      <c r="E124" s="64">
        <f>C123/E123</f>
        <v>0.95</v>
      </c>
      <c r="F124" s="65">
        <v>1</v>
      </c>
    </row>
    <row r="125" spans="2:10" x14ac:dyDescent="0.3">
      <c r="B125" s="66" t="s">
        <v>542</v>
      </c>
      <c r="C125" s="17" t="s">
        <v>221</v>
      </c>
      <c r="D125" s="17" t="s">
        <v>221</v>
      </c>
      <c r="E125" s="17" t="s">
        <v>221</v>
      </c>
      <c r="F125" s="67" t="s">
        <v>222</v>
      </c>
    </row>
    <row r="126" spans="2:10" x14ac:dyDescent="0.3">
      <c r="B126" s="62" t="s">
        <v>253</v>
      </c>
      <c r="C126" s="17">
        <v>181500</v>
      </c>
      <c r="D126" s="17"/>
      <c r="E126" s="17"/>
      <c r="F126" s="67">
        <v>154000</v>
      </c>
      <c r="G126" s="68" t="s">
        <v>241</v>
      </c>
      <c r="H126" s="21" t="s">
        <v>146</v>
      </c>
      <c r="I126" s="21" t="s">
        <v>256</v>
      </c>
    </row>
    <row r="127" spans="2:10" x14ac:dyDescent="0.3">
      <c r="B127" s="62" t="s">
        <v>262</v>
      </c>
      <c r="C127" s="63"/>
      <c r="D127" s="64">
        <v>1</v>
      </c>
      <c r="E127" s="64">
        <v>1</v>
      </c>
      <c r="F127" s="65">
        <f>C126/F126</f>
        <v>1.1785714285714286</v>
      </c>
      <c r="G127" s="20">
        <v>1</v>
      </c>
      <c r="H127" s="10">
        <v>-0.1</v>
      </c>
      <c r="I127" s="70">
        <f>I128*(1+H127)</f>
        <v>0.76500000000000001</v>
      </c>
      <c r="J127" s="70"/>
    </row>
    <row r="128" spans="2:10" x14ac:dyDescent="0.3">
      <c r="B128" s="66" t="s">
        <v>263</v>
      </c>
      <c r="C128" s="16">
        <v>3</v>
      </c>
      <c r="D128" s="16">
        <v>3</v>
      </c>
      <c r="E128" s="16">
        <v>3</v>
      </c>
      <c r="F128" s="69">
        <v>1</v>
      </c>
      <c r="G128" s="20">
        <v>2</v>
      </c>
      <c r="H128" s="10">
        <v>-0.15</v>
      </c>
      <c r="I128" s="1">
        <f>I129*(1+H128)</f>
        <v>0.85</v>
      </c>
    </row>
    <row r="129" spans="2:9" x14ac:dyDescent="0.3">
      <c r="B129" s="62" t="s">
        <v>253</v>
      </c>
      <c r="C129" s="17">
        <v>1</v>
      </c>
      <c r="D129" s="17"/>
      <c r="E129" s="17"/>
      <c r="F129" s="67">
        <f>I127</f>
        <v>0.76500000000000001</v>
      </c>
      <c r="G129" s="20">
        <v>3</v>
      </c>
      <c r="H129" s="10">
        <v>0</v>
      </c>
      <c r="I129" s="1">
        <v>1</v>
      </c>
    </row>
    <row r="130" spans="2:9" x14ac:dyDescent="0.3">
      <c r="B130" s="62" t="s">
        <v>264</v>
      </c>
      <c r="C130" s="63"/>
      <c r="D130" s="64">
        <v>1</v>
      </c>
      <c r="E130" s="64">
        <v>1</v>
      </c>
      <c r="F130" s="65">
        <f>C129/F129</f>
        <v>1.3071895424836601</v>
      </c>
    </row>
    <row r="131" spans="2:9" x14ac:dyDescent="0.3">
      <c r="B131" s="35" t="s">
        <v>265</v>
      </c>
      <c r="C131" s="17"/>
      <c r="D131" s="17">
        <f>D115*D118*D121*D124*D127*D130</f>
        <v>0.92999999999999994</v>
      </c>
      <c r="E131" s="17">
        <f>E115*E118*E121*E124*E127*E130</f>
        <v>1.0258416666666665</v>
      </c>
      <c r="F131" s="67">
        <f>F115*F118*F121*F124*F127*F130</f>
        <v>1.4327731092436975</v>
      </c>
    </row>
    <row r="132" spans="2:9" x14ac:dyDescent="0.3">
      <c r="B132" s="35" t="s">
        <v>266</v>
      </c>
      <c r="C132" s="17"/>
      <c r="D132" s="17">
        <v>170000</v>
      </c>
      <c r="E132" s="17">
        <v>170000</v>
      </c>
      <c r="F132" s="67">
        <v>120000</v>
      </c>
    </row>
    <row r="133" spans="2:9" x14ac:dyDescent="0.3">
      <c r="B133" s="35" t="s">
        <v>179</v>
      </c>
      <c r="C133" s="17"/>
      <c r="D133" s="17">
        <f>D131*D132</f>
        <v>158100</v>
      </c>
      <c r="E133" s="17">
        <f>E131*E132</f>
        <v>174393.08333333331</v>
      </c>
      <c r="F133" s="67">
        <f>F131*F132</f>
        <v>171932.77310924369</v>
      </c>
    </row>
    <row r="134" spans="2:9" x14ac:dyDescent="0.3">
      <c r="B134" s="35" t="s">
        <v>267</v>
      </c>
      <c r="C134" s="17"/>
      <c r="D134" s="131">
        <f>1/3</f>
        <v>0.33333333333333331</v>
      </c>
      <c r="E134" s="17">
        <f>1/3</f>
        <v>0.33333333333333331</v>
      </c>
      <c r="F134" s="67">
        <f>1/3</f>
        <v>0.33333333333333331</v>
      </c>
    </row>
    <row r="135" spans="2:9" x14ac:dyDescent="0.3">
      <c r="B135" s="35"/>
      <c r="C135" s="17">
        <f>D135+E135+F135</f>
        <v>168141.95214752568</v>
      </c>
      <c r="D135" s="17">
        <f>D133*D134</f>
        <v>52700</v>
      </c>
      <c r="E135" s="17">
        <f>E133*E134</f>
        <v>58131.027777777766</v>
      </c>
      <c r="F135" s="67">
        <f>F133*F134</f>
        <v>57310.924369747896</v>
      </c>
    </row>
    <row r="136" spans="2:9" x14ac:dyDescent="0.3">
      <c r="B136" s="35"/>
      <c r="C136" s="17" t="s">
        <v>268</v>
      </c>
      <c r="D136" s="17"/>
      <c r="E136" s="17"/>
      <c r="F136" s="67"/>
    </row>
    <row r="137" spans="2:9" x14ac:dyDescent="0.3">
      <c r="B137" s="35"/>
      <c r="C137" s="17">
        <f>(D133+E133+F133)/3</f>
        <v>168141.95214752565</v>
      </c>
      <c r="D137" s="17"/>
      <c r="E137" s="17"/>
      <c r="F137" s="67"/>
    </row>
    <row r="138" spans="2:9" x14ac:dyDescent="0.3">
      <c r="B138" s="35"/>
      <c r="C138" s="17" t="s">
        <v>268</v>
      </c>
      <c r="D138" s="17"/>
      <c r="E138" s="17"/>
      <c r="F138" s="67"/>
    </row>
    <row r="139" spans="2:9" x14ac:dyDescent="0.3">
      <c r="B139" s="35" t="s">
        <v>269</v>
      </c>
      <c r="C139" s="17">
        <f>AVERAGE(D133:F133)</f>
        <v>168141.95214752565</v>
      </c>
      <c r="D139" s="17"/>
      <c r="E139" s="17"/>
      <c r="F139" s="67"/>
    </row>
    <row r="140" spans="2:9" x14ac:dyDescent="0.3">
      <c r="B140" s="35" t="s">
        <v>665</v>
      </c>
      <c r="C140" s="2">
        <v>60</v>
      </c>
      <c r="D140" s="2"/>
      <c r="E140" s="2"/>
      <c r="F140" s="38"/>
    </row>
    <row r="141" spans="2:9" x14ac:dyDescent="0.3">
      <c r="B141" s="35" t="s">
        <v>80</v>
      </c>
      <c r="C141" s="2">
        <f>C139*C140</f>
        <v>10088517.128851539</v>
      </c>
      <c r="D141" s="2"/>
      <c r="E141" s="2"/>
      <c r="F141" s="38"/>
    </row>
    <row r="142" spans="2:9" ht="19.5" thickBot="1" x14ac:dyDescent="0.35">
      <c r="B142" s="39" t="s">
        <v>270</v>
      </c>
      <c r="C142" s="86">
        <f>ROUND(C141,-4)</f>
        <v>10090000</v>
      </c>
      <c r="D142" s="40"/>
      <c r="E142" s="40"/>
      <c r="F142" s="41"/>
    </row>
    <row r="144" spans="2:9" x14ac:dyDescent="0.3">
      <c r="B144" s="90" t="s">
        <v>664</v>
      </c>
    </row>
    <row r="147" spans="2:10" ht="19.5" thickBot="1" x14ac:dyDescent="0.35"/>
    <row r="148" spans="2:10" ht="85.5" customHeight="1" thickBot="1" x14ac:dyDescent="0.35">
      <c r="B148" s="161" t="s">
        <v>666</v>
      </c>
      <c r="C148" s="162"/>
      <c r="D148" s="162"/>
      <c r="E148" s="162"/>
      <c r="F148" s="162"/>
      <c r="G148" s="162"/>
      <c r="H148" s="162"/>
      <c r="I148" s="162"/>
      <c r="J148" s="163"/>
    </row>
    <row r="150" spans="2:10" x14ac:dyDescent="0.3">
      <c r="B150" s="111" t="s">
        <v>667</v>
      </c>
    </row>
    <row r="152" spans="2:10" x14ac:dyDescent="0.3">
      <c r="B152" s="2" t="s">
        <v>142</v>
      </c>
      <c r="C152" s="2">
        <v>1000</v>
      </c>
    </row>
    <row r="153" spans="2:10" x14ac:dyDescent="0.3">
      <c r="B153" s="2" t="s">
        <v>151</v>
      </c>
      <c r="C153" s="2">
        <v>40000</v>
      </c>
    </row>
    <row r="154" spans="2:10" x14ac:dyDescent="0.3">
      <c r="B154" s="14" t="s">
        <v>35</v>
      </c>
      <c r="C154" s="2"/>
    </row>
    <row r="155" spans="2:10" x14ac:dyDescent="0.3">
      <c r="B155" s="2" t="s">
        <v>155</v>
      </c>
      <c r="C155" s="2">
        <f>C162/D162</f>
        <v>0.7</v>
      </c>
    </row>
    <row r="156" spans="2:10" x14ac:dyDescent="0.3">
      <c r="B156" s="2" t="s">
        <v>156</v>
      </c>
      <c r="C156" s="2">
        <f>C153*C155</f>
        <v>28000</v>
      </c>
    </row>
    <row r="157" spans="2:10" x14ac:dyDescent="0.3">
      <c r="B157" s="2" t="s">
        <v>157</v>
      </c>
      <c r="C157" s="2">
        <f>C156*C152</f>
        <v>28000000</v>
      </c>
    </row>
    <row r="158" spans="2:10" x14ac:dyDescent="0.3">
      <c r="B158" s="2" t="s">
        <v>158</v>
      </c>
      <c r="C158" s="2">
        <v>50000</v>
      </c>
    </row>
    <row r="159" spans="2:10" x14ac:dyDescent="0.3">
      <c r="B159" s="2" t="s">
        <v>159</v>
      </c>
      <c r="C159" s="82">
        <f>C157+C158</f>
        <v>28050000</v>
      </c>
    </row>
    <row r="161" spans="2:10" ht="19.5" thickBot="1" x14ac:dyDescent="0.35">
      <c r="C161" s="23" t="s">
        <v>153</v>
      </c>
      <c r="D161" s="24" t="s">
        <v>154</v>
      </c>
    </row>
    <row r="162" spans="2:10" x14ac:dyDescent="0.3">
      <c r="B162" s="1" t="s">
        <v>152</v>
      </c>
      <c r="C162" s="25">
        <v>0.7</v>
      </c>
      <c r="D162" s="21">
        <v>1</v>
      </c>
    </row>
    <row r="165" spans="2:10" ht="19.5" thickBot="1" x14ac:dyDescent="0.35"/>
    <row r="166" spans="2:10" ht="114" customHeight="1" thickBot="1" x14ac:dyDescent="0.35">
      <c r="B166" s="161" t="s">
        <v>164</v>
      </c>
      <c r="C166" s="162"/>
      <c r="D166" s="162"/>
      <c r="E166" s="162"/>
      <c r="F166" s="162"/>
      <c r="G166" s="162"/>
      <c r="H166" s="162"/>
      <c r="I166" s="162"/>
      <c r="J166" s="163"/>
    </row>
    <row r="169" spans="2:10" x14ac:dyDescent="0.3">
      <c r="B169" s="2"/>
      <c r="C169" s="19" t="s">
        <v>160</v>
      </c>
      <c r="D169" s="19" t="s">
        <v>161</v>
      </c>
      <c r="E169" s="19" t="s">
        <v>162</v>
      </c>
      <c r="G169" s="132" t="s">
        <v>668</v>
      </c>
    </row>
    <row r="170" spans="2:10" x14ac:dyDescent="0.3">
      <c r="B170" s="2" t="s">
        <v>163</v>
      </c>
      <c r="C170" s="2">
        <v>2200000</v>
      </c>
      <c r="D170" s="2">
        <v>1600000</v>
      </c>
      <c r="E170" s="13">
        <f>D170/C170-1</f>
        <v>-0.27272727272727271</v>
      </c>
      <c r="G170" s="132">
        <f>C170*(1+E170)</f>
        <v>1600000</v>
      </c>
    </row>
    <row r="171" spans="2:10" x14ac:dyDescent="0.3">
      <c r="B171" s="2" t="s">
        <v>165</v>
      </c>
      <c r="C171" s="2">
        <v>600000</v>
      </c>
      <c r="D171" s="2">
        <v>600000</v>
      </c>
      <c r="E171" s="133">
        <f>D171/C171-1</f>
        <v>0</v>
      </c>
    </row>
    <row r="172" spans="2:10" x14ac:dyDescent="0.3">
      <c r="B172" s="2" t="s">
        <v>166</v>
      </c>
      <c r="C172" s="2">
        <v>2000000</v>
      </c>
      <c r="D172" s="2">
        <v>1700000</v>
      </c>
      <c r="E172" s="13">
        <f>D172/C172-1</f>
        <v>-0.15000000000000002</v>
      </c>
    </row>
    <row r="173" spans="2:10" x14ac:dyDescent="0.3">
      <c r="B173" s="2" t="s">
        <v>162</v>
      </c>
      <c r="C173" s="2"/>
      <c r="D173" s="2"/>
      <c r="E173" s="85">
        <f>(E170+E171+E172)/3</f>
        <v>-0.1409090909090909</v>
      </c>
      <c r="F173" s="90" t="s">
        <v>543</v>
      </c>
    </row>
    <row r="174" spans="2:10" x14ac:dyDescent="0.3">
      <c r="E174" s="21" t="s">
        <v>268</v>
      </c>
    </row>
    <row r="175" spans="2:10" x14ac:dyDescent="0.3">
      <c r="E175" s="115">
        <f>AVERAGE(E170:E172)</f>
        <v>-0.1409090909090909</v>
      </c>
    </row>
    <row r="177" spans="2:10" ht="19.5" thickBot="1" x14ac:dyDescent="0.35"/>
    <row r="178" spans="2:10" ht="40.5" customHeight="1" thickBot="1" x14ac:dyDescent="0.35">
      <c r="B178" s="161" t="s">
        <v>427</v>
      </c>
      <c r="C178" s="162"/>
      <c r="D178" s="162"/>
      <c r="E178" s="162"/>
      <c r="F178" s="162"/>
      <c r="G178" s="162"/>
      <c r="H178" s="162"/>
      <c r="I178" s="162"/>
      <c r="J178" s="163"/>
    </row>
    <row r="181" spans="2:10" x14ac:dyDescent="0.3">
      <c r="B181" s="2" t="s">
        <v>428</v>
      </c>
      <c r="C181" s="2">
        <v>1.54</v>
      </c>
    </row>
    <row r="182" spans="2:10" x14ac:dyDescent="0.3">
      <c r="B182" s="2" t="s">
        <v>429</v>
      </c>
      <c r="C182" s="2">
        <v>2.56</v>
      </c>
    </row>
    <row r="183" spans="2:10" x14ac:dyDescent="0.3">
      <c r="B183" s="2" t="s">
        <v>430</v>
      </c>
      <c r="C183" s="2">
        <v>1000</v>
      </c>
    </row>
    <row r="184" spans="2:10" x14ac:dyDescent="0.3">
      <c r="B184" s="14" t="s">
        <v>35</v>
      </c>
      <c r="C184" s="2"/>
    </row>
    <row r="185" spans="2:10" x14ac:dyDescent="0.3">
      <c r="B185" s="2" t="s">
        <v>431</v>
      </c>
      <c r="C185" s="82">
        <f>C181*C182*C183</f>
        <v>3942.4</v>
      </c>
    </row>
    <row r="187" spans="2:10" ht="19.5" thickBot="1" x14ac:dyDescent="0.35"/>
    <row r="188" spans="2:10" ht="119.25" customHeight="1" thickBot="1" x14ac:dyDescent="0.35">
      <c r="B188" s="161" t="s">
        <v>669</v>
      </c>
      <c r="C188" s="162"/>
      <c r="D188" s="162"/>
      <c r="E188" s="162"/>
      <c r="F188" s="162"/>
      <c r="G188" s="162"/>
      <c r="H188" s="162"/>
      <c r="I188" s="162"/>
      <c r="J188" s="163"/>
    </row>
    <row r="191" spans="2:10" x14ac:dyDescent="0.3">
      <c r="B191" s="90" t="s">
        <v>670</v>
      </c>
    </row>
    <row r="193" spans="1:5" x14ac:dyDescent="0.3">
      <c r="A193" s="20"/>
      <c r="B193" s="26" t="s">
        <v>171</v>
      </c>
      <c r="C193" s="26" t="s">
        <v>172</v>
      </c>
      <c r="D193" s="26" t="s">
        <v>173</v>
      </c>
      <c r="E193" s="26" t="s">
        <v>174</v>
      </c>
    </row>
    <row r="194" spans="1:5" x14ac:dyDescent="0.3">
      <c r="A194" s="20">
        <v>1</v>
      </c>
      <c r="B194" s="26" t="s">
        <v>167</v>
      </c>
      <c r="C194" s="17">
        <v>450000</v>
      </c>
      <c r="D194" s="17">
        <v>2</v>
      </c>
      <c r="E194" s="17" t="s">
        <v>175</v>
      </c>
    </row>
    <row r="195" spans="1:5" x14ac:dyDescent="0.3">
      <c r="A195" s="20">
        <v>2</v>
      </c>
      <c r="B195" s="26" t="s">
        <v>671</v>
      </c>
      <c r="C195" s="17">
        <v>700000</v>
      </c>
      <c r="D195" s="17">
        <v>2.2000000000000002</v>
      </c>
      <c r="E195" s="17" t="s">
        <v>175</v>
      </c>
    </row>
    <row r="196" spans="1:5" ht="56.25" x14ac:dyDescent="0.3">
      <c r="A196" s="20">
        <v>3</v>
      </c>
      <c r="B196" s="27" t="s">
        <v>169</v>
      </c>
      <c r="C196" s="17">
        <v>400000</v>
      </c>
      <c r="D196" s="17">
        <v>1.8</v>
      </c>
      <c r="E196" s="17" t="s">
        <v>176</v>
      </c>
    </row>
    <row r="197" spans="1:5" ht="56.25" x14ac:dyDescent="0.3">
      <c r="A197" s="20">
        <v>4</v>
      </c>
      <c r="B197" s="27" t="s">
        <v>170</v>
      </c>
      <c r="C197" s="17">
        <v>500000</v>
      </c>
      <c r="D197" s="17">
        <v>1.8</v>
      </c>
      <c r="E197" s="17" t="s">
        <v>175</v>
      </c>
    </row>
    <row r="198" spans="1:5" x14ac:dyDescent="0.3">
      <c r="A198" s="20">
        <v>5</v>
      </c>
      <c r="B198" s="27" t="s">
        <v>672</v>
      </c>
      <c r="C198" s="17">
        <v>600000</v>
      </c>
      <c r="D198" s="17">
        <v>2</v>
      </c>
      <c r="E198" s="17" t="s">
        <v>175</v>
      </c>
    </row>
    <row r="201" spans="1:5" x14ac:dyDescent="0.3">
      <c r="B201" s="2"/>
      <c r="C201" s="2" t="s">
        <v>177</v>
      </c>
      <c r="D201" s="2" t="s">
        <v>163</v>
      </c>
      <c r="E201" s="2" t="s">
        <v>166</v>
      </c>
    </row>
    <row r="202" spans="1:5" x14ac:dyDescent="0.3">
      <c r="B202" s="2" t="s">
        <v>178</v>
      </c>
      <c r="C202" s="2"/>
      <c r="D202" s="2">
        <v>700000</v>
      </c>
      <c r="E202" s="2">
        <v>600000</v>
      </c>
    </row>
    <row r="203" spans="1:5" x14ac:dyDescent="0.3">
      <c r="B203" s="2" t="s">
        <v>180</v>
      </c>
      <c r="C203" s="2">
        <v>2</v>
      </c>
      <c r="D203" s="2">
        <v>2.2000000000000002</v>
      </c>
      <c r="E203" s="2">
        <v>2</v>
      </c>
    </row>
    <row r="204" spans="1:5" x14ac:dyDescent="0.3">
      <c r="B204" s="2" t="s">
        <v>181</v>
      </c>
      <c r="C204" s="2"/>
      <c r="D204" s="2">
        <f>D202/D203</f>
        <v>318181.81818181818</v>
      </c>
      <c r="E204" s="2">
        <f>E202/E203</f>
        <v>300000</v>
      </c>
    </row>
    <row r="205" spans="1:5" x14ac:dyDescent="0.3">
      <c r="B205" s="2" t="s">
        <v>162</v>
      </c>
      <c r="C205" s="2"/>
      <c r="D205" s="5">
        <v>-0.05</v>
      </c>
      <c r="E205" s="5">
        <v>-0.05</v>
      </c>
    </row>
    <row r="206" spans="1:5" x14ac:dyDescent="0.3">
      <c r="B206" s="2" t="s">
        <v>179</v>
      </c>
      <c r="C206" s="2"/>
      <c r="D206" s="2">
        <f>D204*(1+D205)</f>
        <v>302272.72727272724</v>
      </c>
      <c r="E206" s="2">
        <f>E204*(1+E205)</f>
        <v>285000</v>
      </c>
    </row>
    <row r="207" spans="1:5" x14ac:dyDescent="0.3">
      <c r="B207" s="2" t="s">
        <v>134</v>
      </c>
      <c r="C207" s="2"/>
      <c r="D207" s="5">
        <v>0.03</v>
      </c>
      <c r="E207" s="5">
        <v>0</v>
      </c>
    </row>
    <row r="208" spans="1:5" x14ac:dyDescent="0.3">
      <c r="B208" s="2" t="s">
        <v>179</v>
      </c>
      <c r="C208" s="2">
        <f>AVERAGE(D208:E208)</f>
        <v>298170.45454545453</v>
      </c>
      <c r="D208" s="2">
        <f>D206*(1+D207)</f>
        <v>311340.90909090906</v>
      </c>
      <c r="E208" s="2">
        <f>E206*(1+E207)</f>
        <v>285000</v>
      </c>
    </row>
    <row r="209" spans="2:10" x14ac:dyDescent="0.3">
      <c r="B209" s="2"/>
      <c r="C209" s="19" t="s">
        <v>268</v>
      </c>
      <c r="D209" s="2"/>
      <c r="E209" s="2"/>
    </row>
    <row r="210" spans="2:10" x14ac:dyDescent="0.3">
      <c r="B210" s="2" t="s">
        <v>182</v>
      </c>
      <c r="C210" s="2">
        <f>(D208+E208)/2</f>
        <v>298170.45454545453</v>
      </c>
      <c r="D210" s="2"/>
      <c r="E210" s="2"/>
    </row>
    <row r="211" spans="2:10" x14ac:dyDescent="0.3">
      <c r="B211" s="2" t="s">
        <v>544</v>
      </c>
      <c r="C211" s="82">
        <f>C210*C203</f>
        <v>596340.90909090906</v>
      </c>
      <c r="D211" s="2"/>
      <c r="E211" s="2"/>
    </row>
    <row r="213" spans="2:10" ht="19.5" thickBot="1" x14ac:dyDescent="0.35"/>
    <row r="214" spans="2:10" ht="78.75" customHeight="1" thickBot="1" x14ac:dyDescent="0.35">
      <c r="B214" s="161" t="s">
        <v>673</v>
      </c>
      <c r="C214" s="162"/>
      <c r="D214" s="162"/>
      <c r="E214" s="162"/>
      <c r="F214" s="162"/>
      <c r="G214" s="162"/>
      <c r="H214" s="162"/>
      <c r="I214" s="162"/>
      <c r="J214" s="163"/>
    </row>
    <row r="216" spans="2:10" x14ac:dyDescent="0.3">
      <c r="B216" s="111" t="s">
        <v>674</v>
      </c>
    </row>
    <row r="218" spans="2:10" x14ac:dyDescent="0.3">
      <c r="B218" s="2" t="s">
        <v>78</v>
      </c>
      <c r="C218" s="2">
        <v>5</v>
      </c>
    </row>
    <row r="219" spans="2:10" x14ac:dyDescent="0.3">
      <c r="B219" s="2" t="s">
        <v>110</v>
      </c>
      <c r="C219" s="2">
        <v>100</v>
      </c>
    </row>
    <row r="220" spans="2:10" x14ac:dyDescent="0.3">
      <c r="B220" s="2" t="s">
        <v>432</v>
      </c>
      <c r="C220" s="2">
        <v>1000</v>
      </c>
      <c r="D220" s="90" t="s">
        <v>434</v>
      </c>
    </row>
    <row r="221" spans="2:10" x14ac:dyDescent="0.3">
      <c r="B221" s="2" t="s">
        <v>433</v>
      </c>
      <c r="C221" s="2">
        <v>100</v>
      </c>
      <c r="D221" s="90" t="s">
        <v>434</v>
      </c>
    </row>
    <row r="222" spans="2:10" x14ac:dyDescent="0.3">
      <c r="B222" s="14" t="s">
        <v>35</v>
      </c>
      <c r="C222" s="2"/>
    </row>
    <row r="223" spans="2:10" x14ac:dyDescent="0.3">
      <c r="B223" s="2" t="s">
        <v>545</v>
      </c>
      <c r="C223" s="2">
        <f>C220*C219*12</f>
        <v>1200000</v>
      </c>
    </row>
    <row r="224" spans="2:10" x14ac:dyDescent="0.3">
      <c r="B224" s="2" t="s">
        <v>546</v>
      </c>
      <c r="C224" s="2">
        <f>C221*C219*12</f>
        <v>120000</v>
      </c>
      <c r="D224" s="90" t="s">
        <v>547</v>
      </c>
    </row>
    <row r="225" spans="2:10" x14ac:dyDescent="0.3">
      <c r="B225" s="2" t="s">
        <v>435</v>
      </c>
      <c r="C225" s="2">
        <f>C223+C224</f>
        <v>1320000</v>
      </c>
      <c r="D225" s="90" t="s">
        <v>548</v>
      </c>
    </row>
    <row r="226" spans="2:10" x14ac:dyDescent="0.3">
      <c r="B226" s="2" t="s">
        <v>80</v>
      </c>
      <c r="C226" s="82">
        <f>C225*C218</f>
        <v>6600000</v>
      </c>
      <c r="D226" s="90" t="s">
        <v>549</v>
      </c>
    </row>
    <row r="228" spans="2:10" ht="19.5" thickBot="1" x14ac:dyDescent="0.35"/>
    <row r="229" spans="2:10" ht="60" customHeight="1" thickBot="1" x14ac:dyDescent="0.35">
      <c r="B229" s="161" t="s">
        <v>550</v>
      </c>
      <c r="C229" s="162"/>
      <c r="D229" s="162"/>
      <c r="E229" s="162"/>
      <c r="F229" s="162"/>
      <c r="G229" s="162"/>
      <c r="H229" s="162"/>
      <c r="I229" s="162"/>
      <c r="J229" s="163"/>
    </row>
    <row r="232" spans="2:10" ht="19.5" thickBot="1" x14ac:dyDescent="0.35">
      <c r="B232" s="2"/>
      <c r="C232" s="106" t="s">
        <v>183</v>
      </c>
      <c r="D232" s="101" t="s">
        <v>184</v>
      </c>
    </row>
    <row r="233" spans="2:10" ht="19.5" thickTop="1" x14ac:dyDescent="0.3">
      <c r="B233" s="2" t="s">
        <v>178</v>
      </c>
      <c r="C233" s="107"/>
      <c r="D233" s="102">
        <v>50000</v>
      </c>
    </row>
    <row r="234" spans="2:10" x14ac:dyDescent="0.3">
      <c r="B234" s="2" t="s">
        <v>187</v>
      </c>
      <c r="C234" s="108">
        <v>1</v>
      </c>
      <c r="D234" s="103">
        <f>C234-25%</f>
        <v>0.75</v>
      </c>
    </row>
    <row r="235" spans="2:10" x14ac:dyDescent="0.3">
      <c r="B235" s="28" t="s">
        <v>188</v>
      </c>
      <c r="C235" s="108"/>
      <c r="D235" s="104">
        <f>C234/D234</f>
        <v>1.3333333333333333</v>
      </c>
    </row>
    <row r="236" spans="2:10" x14ac:dyDescent="0.3">
      <c r="B236" s="2" t="s">
        <v>185</v>
      </c>
      <c r="C236" s="109" t="s">
        <v>189</v>
      </c>
      <c r="D236" s="105" t="s">
        <v>190</v>
      </c>
    </row>
    <row r="237" spans="2:10" x14ac:dyDescent="0.3">
      <c r="B237" s="2" t="s">
        <v>191</v>
      </c>
      <c r="C237" s="108">
        <f>D237+14%</f>
        <v>1.1400000000000001</v>
      </c>
      <c r="D237" s="103">
        <v>1</v>
      </c>
    </row>
    <row r="238" spans="2:10" x14ac:dyDescent="0.3">
      <c r="B238" s="28" t="s">
        <v>188</v>
      </c>
      <c r="C238" s="108"/>
      <c r="D238" s="103">
        <f>C237/D237</f>
        <v>1.1400000000000001</v>
      </c>
    </row>
    <row r="239" spans="2:10" x14ac:dyDescent="0.3">
      <c r="B239" s="2" t="s">
        <v>186</v>
      </c>
      <c r="C239" s="109" t="s">
        <v>192</v>
      </c>
      <c r="D239" s="105" t="s">
        <v>193</v>
      </c>
    </row>
    <row r="240" spans="2:10" x14ac:dyDescent="0.3">
      <c r="B240" s="2" t="s">
        <v>194</v>
      </c>
      <c r="C240" s="108">
        <f>D240+16%</f>
        <v>1.1599999999999999</v>
      </c>
      <c r="D240" s="103">
        <v>1</v>
      </c>
    </row>
    <row r="241" spans="2:4" x14ac:dyDescent="0.3">
      <c r="B241" s="2"/>
      <c r="C241" s="108"/>
      <c r="D241" s="103">
        <f>C240/D240</f>
        <v>1.1599999999999999</v>
      </c>
    </row>
    <row r="242" spans="2:4" x14ac:dyDescent="0.3">
      <c r="B242" s="2" t="s">
        <v>195</v>
      </c>
      <c r="C242" s="2"/>
      <c r="D242" s="82">
        <f>D233*D235</f>
        <v>66666.666666666657</v>
      </c>
    </row>
    <row r="245" spans="2:4" x14ac:dyDescent="0.3">
      <c r="B245" s="116" t="s">
        <v>552</v>
      </c>
    </row>
    <row r="246" spans="2:4" ht="19.5" thickBot="1" x14ac:dyDescent="0.35">
      <c r="B246" s="2"/>
      <c r="C246" s="106" t="s">
        <v>183</v>
      </c>
      <c r="D246" s="101" t="s">
        <v>184</v>
      </c>
    </row>
    <row r="247" spans="2:4" ht="19.5" thickTop="1" x14ac:dyDescent="0.3">
      <c r="B247" s="2" t="s">
        <v>178</v>
      </c>
      <c r="C247" s="107"/>
      <c r="D247" s="102">
        <v>50000</v>
      </c>
    </row>
    <row r="248" spans="2:4" x14ac:dyDescent="0.3">
      <c r="B248" s="2" t="s">
        <v>187</v>
      </c>
      <c r="C248" s="108">
        <v>1</v>
      </c>
      <c r="D248" s="103">
        <f>C248-25%</f>
        <v>0.75</v>
      </c>
    </row>
    <row r="249" spans="2:4" x14ac:dyDescent="0.3">
      <c r="B249" s="28" t="s">
        <v>188</v>
      </c>
      <c r="C249" s="108"/>
      <c r="D249" s="104">
        <f>C248/D248</f>
        <v>1.3333333333333333</v>
      </c>
    </row>
    <row r="250" spans="2:4" x14ac:dyDescent="0.3">
      <c r="B250" s="2" t="s">
        <v>185</v>
      </c>
      <c r="C250" s="109" t="s">
        <v>189</v>
      </c>
      <c r="D250" s="105" t="s">
        <v>190</v>
      </c>
    </row>
    <row r="251" spans="2:4" x14ac:dyDescent="0.3">
      <c r="B251" s="2" t="s">
        <v>191</v>
      </c>
      <c r="C251" s="108">
        <f>D251+14%</f>
        <v>1.1400000000000001</v>
      </c>
      <c r="D251" s="103">
        <v>1</v>
      </c>
    </row>
    <row r="252" spans="2:4" x14ac:dyDescent="0.3">
      <c r="B252" s="28" t="s">
        <v>188</v>
      </c>
      <c r="C252" s="108"/>
      <c r="D252" s="104">
        <f>C251/D251</f>
        <v>1.1400000000000001</v>
      </c>
    </row>
    <row r="253" spans="2:4" x14ac:dyDescent="0.3">
      <c r="B253" s="2" t="s">
        <v>186</v>
      </c>
      <c r="C253" s="109" t="s">
        <v>192</v>
      </c>
      <c r="D253" s="105" t="s">
        <v>193</v>
      </c>
    </row>
    <row r="254" spans="2:4" x14ac:dyDescent="0.3">
      <c r="B254" s="2" t="s">
        <v>194</v>
      </c>
      <c r="C254" s="108">
        <f>D254+16%</f>
        <v>1.1599999999999999</v>
      </c>
      <c r="D254" s="103">
        <v>1</v>
      </c>
    </row>
    <row r="255" spans="2:4" x14ac:dyDescent="0.3">
      <c r="B255" s="2"/>
      <c r="C255" s="108"/>
      <c r="D255" s="104">
        <f>C254/D254</f>
        <v>1.1599999999999999</v>
      </c>
    </row>
    <row r="256" spans="2:4" x14ac:dyDescent="0.3">
      <c r="B256" s="2" t="s">
        <v>551</v>
      </c>
      <c r="C256" s="110"/>
      <c r="D256" s="103">
        <f>D249*D252*D255</f>
        <v>1.7631999999999999</v>
      </c>
    </row>
    <row r="257" spans="2:10" x14ac:dyDescent="0.3">
      <c r="B257" s="2" t="s">
        <v>195</v>
      </c>
      <c r="C257" s="2"/>
      <c r="D257" s="82">
        <f>D247*D256</f>
        <v>88160</v>
      </c>
    </row>
    <row r="259" spans="2:10" ht="19.5" thickBot="1" x14ac:dyDescent="0.35"/>
    <row r="260" spans="2:10" ht="39.75" customHeight="1" thickBot="1" x14ac:dyDescent="0.35">
      <c r="B260" s="161" t="s">
        <v>436</v>
      </c>
      <c r="C260" s="162"/>
      <c r="D260" s="162"/>
      <c r="E260" s="162"/>
      <c r="F260" s="162"/>
      <c r="G260" s="162"/>
      <c r="H260" s="162"/>
      <c r="I260" s="162"/>
      <c r="J260" s="163"/>
    </row>
    <row r="263" spans="2:10" x14ac:dyDescent="0.3">
      <c r="B263" s="11" t="s">
        <v>554</v>
      </c>
    </row>
    <row r="264" spans="2:10" x14ac:dyDescent="0.3">
      <c r="B264" s="2"/>
      <c r="C264" s="19" t="s">
        <v>153</v>
      </c>
      <c r="D264" s="19" t="s">
        <v>154</v>
      </c>
    </row>
    <row r="265" spans="2:10" x14ac:dyDescent="0.3">
      <c r="B265" s="2" t="s">
        <v>71</v>
      </c>
      <c r="C265" s="3">
        <v>5</v>
      </c>
      <c r="D265" s="3">
        <v>5</v>
      </c>
    </row>
    <row r="266" spans="2:10" x14ac:dyDescent="0.3">
      <c r="B266" s="2" t="s">
        <v>437</v>
      </c>
      <c r="C266" s="78">
        <v>0.13</v>
      </c>
      <c r="D266" s="78">
        <v>0.1</v>
      </c>
    </row>
    <row r="267" spans="2:10" x14ac:dyDescent="0.3">
      <c r="B267" s="2" t="s">
        <v>178</v>
      </c>
      <c r="C267" s="91">
        <v>1</v>
      </c>
      <c r="D267" s="19"/>
      <c r="E267" s="90" t="s">
        <v>555</v>
      </c>
    </row>
    <row r="268" spans="2:10" x14ac:dyDescent="0.3">
      <c r="B268" s="2" t="s">
        <v>438</v>
      </c>
      <c r="C268" s="92">
        <f>PMT(C266,C265,C267)</f>
        <v>-0.28431454335515777</v>
      </c>
      <c r="D268" s="19"/>
    </row>
    <row r="269" spans="2:10" x14ac:dyDescent="0.3">
      <c r="B269" s="2" t="s">
        <v>439</v>
      </c>
      <c r="C269" s="19"/>
      <c r="D269" s="92">
        <f>C268</f>
        <v>-0.28431454335515777</v>
      </c>
    </row>
    <row r="270" spans="2:10" x14ac:dyDescent="0.3">
      <c r="B270" s="2" t="s">
        <v>440</v>
      </c>
      <c r="C270" s="19"/>
      <c r="D270" s="91">
        <f>PV(D266,D265,D269)</f>
        <v>1.0777758093011374</v>
      </c>
      <c r="E270" s="90" t="s">
        <v>553</v>
      </c>
    </row>
    <row r="271" spans="2:10" x14ac:dyDescent="0.3">
      <c r="B271" s="2" t="s">
        <v>146</v>
      </c>
      <c r="C271" s="19"/>
      <c r="D271" s="93">
        <f>C267/D270-1</f>
        <v>-7.2163253832510432E-2</v>
      </c>
    </row>
    <row r="274" spans="2:5" x14ac:dyDescent="0.3">
      <c r="B274" s="11" t="s">
        <v>588</v>
      </c>
    </row>
    <row r="275" spans="2:5" x14ac:dyDescent="0.3">
      <c r="B275" s="2"/>
      <c r="C275" s="19" t="s">
        <v>153</v>
      </c>
      <c r="D275" s="19" t="s">
        <v>154</v>
      </c>
    </row>
    <row r="276" spans="2:5" x14ac:dyDescent="0.3">
      <c r="B276" s="2" t="s">
        <v>71</v>
      </c>
      <c r="C276" s="3">
        <v>5</v>
      </c>
      <c r="D276" s="3">
        <v>5</v>
      </c>
    </row>
    <row r="277" spans="2:5" x14ac:dyDescent="0.3">
      <c r="B277" s="2" t="s">
        <v>437</v>
      </c>
      <c r="C277" s="78">
        <v>0.13</v>
      </c>
      <c r="D277" s="78">
        <v>0.1</v>
      </c>
    </row>
    <row r="278" spans="2:5" x14ac:dyDescent="0.3">
      <c r="B278" s="2" t="s">
        <v>178</v>
      </c>
      <c r="C278" s="19"/>
      <c r="D278" s="91">
        <v>1</v>
      </c>
      <c r="E278" s="90" t="s">
        <v>555</v>
      </c>
    </row>
    <row r="279" spans="2:5" x14ac:dyDescent="0.3">
      <c r="B279" s="2" t="s">
        <v>438</v>
      </c>
      <c r="C279" s="92"/>
      <c r="D279" s="92">
        <f>PMT(D277,D276,D278)</f>
        <v>-0.26379748079474541</v>
      </c>
    </row>
    <row r="280" spans="2:5" x14ac:dyDescent="0.3">
      <c r="B280" s="2" t="s">
        <v>439</v>
      </c>
      <c r="C280" s="92">
        <f>D279</f>
        <v>-0.26379748079474541</v>
      </c>
      <c r="D280" s="92"/>
    </row>
    <row r="281" spans="2:5" x14ac:dyDescent="0.3">
      <c r="B281" s="2" t="s">
        <v>440</v>
      </c>
      <c r="C281" s="91">
        <f>PV(C277,C276,C280)</f>
        <v>0.92783674616748923</v>
      </c>
      <c r="D281" s="92"/>
    </row>
    <row r="282" spans="2:5" x14ac:dyDescent="0.3">
      <c r="B282" s="2" t="s">
        <v>146</v>
      </c>
      <c r="C282" s="19"/>
      <c r="D282" s="93">
        <f>C281/D278-1</f>
        <v>-7.2163253832510765E-2</v>
      </c>
    </row>
    <row r="285" spans="2:5" x14ac:dyDescent="0.3">
      <c r="B285" s="11" t="s">
        <v>556</v>
      </c>
    </row>
    <row r="286" spans="2:5" x14ac:dyDescent="0.3">
      <c r="B286" s="2"/>
      <c r="C286" s="19" t="s">
        <v>153</v>
      </c>
      <c r="D286" s="19" t="s">
        <v>154</v>
      </c>
    </row>
    <row r="287" spans="2:5" x14ac:dyDescent="0.3">
      <c r="B287" s="2" t="s">
        <v>71</v>
      </c>
      <c r="C287" s="3">
        <v>5</v>
      </c>
      <c r="D287" s="3">
        <v>5</v>
      </c>
    </row>
    <row r="288" spans="2:5" x14ac:dyDescent="0.3">
      <c r="B288" s="2" t="s">
        <v>437</v>
      </c>
      <c r="C288" s="78">
        <v>0.13</v>
      </c>
      <c r="D288" s="78">
        <v>0.1</v>
      </c>
    </row>
    <row r="289" spans="2:10" x14ac:dyDescent="0.3">
      <c r="B289" s="2" t="s">
        <v>441</v>
      </c>
      <c r="C289" s="19">
        <v>-1</v>
      </c>
      <c r="D289" s="19">
        <v>-1</v>
      </c>
      <c r="E289" s="90" t="s">
        <v>557</v>
      </c>
    </row>
    <row r="290" spans="2:10" x14ac:dyDescent="0.3">
      <c r="B290" s="2" t="s">
        <v>442</v>
      </c>
      <c r="C290" s="91">
        <f>PV(C288,C287,C289)</f>
        <v>3.5172312615427028</v>
      </c>
      <c r="D290" s="91">
        <f>PV(D288,D287,D289)</f>
        <v>3.7907867694084505</v>
      </c>
    </row>
    <row r="291" spans="2:10" x14ac:dyDescent="0.3">
      <c r="B291" s="2" t="s">
        <v>146</v>
      </c>
      <c r="C291" s="19"/>
      <c r="D291" s="93">
        <f>C290/D290-1</f>
        <v>-7.216325383251132E-2</v>
      </c>
    </row>
    <row r="294" spans="2:10" ht="19.5" thickBot="1" x14ac:dyDescent="0.35"/>
    <row r="295" spans="2:10" ht="117.75" customHeight="1" thickBot="1" x14ac:dyDescent="0.35">
      <c r="B295" s="161" t="s">
        <v>201</v>
      </c>
      <c r="C295" s="162"/>
      <c r="D295" s="162"/>
      <c r="E295" s="162"/>
      <c r="F295" s="162"/>
      <c r="G295" s="162"/>
      <c r="H295" s="162"/>
      <c r="I295" s="162"/>
      <c r="J295" s="163"/>
    </row>
    <row r="298" spans="2:10" x14ac:dyDescent="0.3">
      <c r="B298" s="2"/>
      <c r="C298" s="19" t="s">
        <v>178</v>
      </c>
      <c r="D298" s="19" t="s">
        <v>180</v>
      </c>
      <c r="E298" s="19" t="s">
        <v>196</v>
      </c>
    </row>
    <row r="299" spans="2:10" x14ac:dyDescent="0.3">
      <c r="B299" s="2" t="s">
        <v>197</v>
      </c>
      <c r="C299" s="2">
        <v>600000</v>
      </c>
      <c r="D299" s="2">
        <v>800</v>
      </c>
      <c r="E299" s="2">
        <f>C299/D299</f>
        <v>750</v>
      </c>
      <c r="F299" s="90" t="s">
        <v>562</v>
      </c>
    </row>
    <row r="300" spans="2:10" x14ac:dyDescent="0.3">
      <c r="B300" s="2" t="s">
        <v>198</v>
      </c>
      <c r="C300" s="2">
        <v>120000</v>
      </c>
      <c r="D300" s="2">
        <v>200</v>
      </c>
      <c r="E300" s="2">
        <f>C300/D300</f>
        <v>600</v>
      </c>
      <c r="F300" s="90" t="s">
        <v>560</v>
      </c>
    </row>
    <row r="301" spans="2:10" x14ac:dyDescent="0.3">
      <c r="B301" s="2" t="s">
        <v>199</v>
      </c>
      <c r="C301" s="2">
        <v>260000</v>
      </c>
      <c r="D301" s="2">
        <v>400</v>
      </c>
      <c r="E301" s="2">
        <f>C301/D301</f>
        <v>650</v>
      </c>
      <c r="F301" s="90" t="s">
        <v>561</v>
      </c>
    </row>
    <row r="302" spans="2:10" x14ac:dyDescent="0.3">
      <c r="B302" s="2" t="s">
        <v>200</v>
      </c>
      <c r="C302" s="2"/>
      <c r="D302" s="2"/>
      <c r="E302" s="2">
        <v>50</v>
      </c>
      <c r="F302" s="90" t="s">
        <v>559</v>
      </c>
    </row>
    <row r="303" spans="2:10" x14ac:dyDescent="0.3">
      <c r="B303" s="2" t="s">
        <v>202</v>
      </c>
      <c r="C303" s="82">
        <f>E303*D303</f>
        <v>700000</v>
      </c>
      <c r="D303" s="2">
        <v>1000</v>
      </c>
      <c r="E303" s="2">
        <f>E299-E302</f>
        <v>700</v>
      </c>
      <c r="F303" s="90" t="s">
        <v>558</v>
      </c>
    </row>
    <row r="306" spans="2:10" ht="19.5" thickBot="1" x14ac:dyDescent="0.35"/>
    <row r="307" spans="2:10" ht="40.5" customHeight="1" thickBot="1" x14ac:dyDescent="0.35">
      <c r="B307" s="161" t="s">
        <v>443</v>
      </c>
      <c r="C307" s="162"/>
      <c r="D307" s="162"/>
      <c r="E307" s="162"/>
      <c r="F307" s="162"/>
      <c r="G307" s="162"/>
      <c r="H307" s="162"/>
      <c r="I307" s="162"/>
      <c r="J307" s="163"/>
    </row>
    <row r="310" spans="2:10" x14ac:dyDescent="0.3">
      <c r="B310" s="2" t="s">
        <v>53</v>
      </c>
      <c r="C310" s="2">
        <v>800000</v>
      </c>
    </row>
    <row r="311" spans="2:10" x14ac:dyDescent="0.3">
      <c r="B311" s="2" t="s">
        <v>49</v>
      </c>
      <c r="C311" s="2">
        <v>200000</v>
      </c>
    </row>
    <row r="312" spans="2:10" x14ac:dyDescent="0.3">
      <c r="B312" s="2" t="s">
        <v>55</v>
      </c>
      <c r="C312" s="2">
        <v>150000</v>
      </c>
      <c r="D312" s="90" t="s">
        <v>585</v>
      </c>
    </row>
    <row r="313" spans="2:10" x14ac:dyDescent="0.3">
      <c r="B313" s="2" t="s">
        <v>444</v>
      </c>
      <c r="C313" s="2">
        <v>100000</v>
      </c>
      <c r="D313" s="90" t="s">
        <v>585</v>
      </c>
    </row>
    <row r="314" spans="2:10" x14ac:dyDescent="0.3">
      <c r="B314" s="14" t="s">
        <v>35</v>
      </c>
      <c r="C314" s="2"/>
    </row>
    <row r="315" spans="2:10" x14ac:dyDescent="0.3">
      <c r="B315" s="2" t="s">
        <v>78</v>
      </c>
      <c r="C315" s="84">
        <f>C310/C311</f>
        <v>4</v>
      </c>
      <c r="D315" s="90" t="s">
        <v>563</v>
      </c>
    </row>
    <row r="317" spans="2:10" ht="19.5" thickBot="1" x14ac:dyDescent="0.35"/>
    <row r="318" spans="2:10" ht="101.25" customHeight="1" thickBot="1" x14ac:dyDescent="0.35">
      <c r="B318" s="161" t="s">
        <v>446</v>
      </c>
      <c r="C318" s="162"/>
      <c r="D318" s="162"/>
      <c r="E318" s="162"/>
      <c r="F318" s="162"/>
      <c r="G318" s="162"/>
      <c r="H318" s="162"/>
      <c r="I318" s="162"/>
      <c r="J318" s="163"/>
    </row>
    <row r="320" spans="2:10" x14ac:dyDescent="0.3">
      <c r="B320" s="111" t="s">
        <v>564</v>
      </c>
    </row>
    <row r="322" spans="2:6" ht="19.5" thickBot="1" x14ac:dyDescent="0.35">
      <c r="B322" s="1" t="s">
        <v>209</v>
      </c>
    </row>
    <row r="323" spans="2:6" ht="19.5" thickBot="1" x14ac:dyDescent="0.35">
      <c r="B323" s="29" t="s">
        <v>210</v>
      </c>
      <c r="C323" s="30" t="s">
        <v>153</v>
      </c>
      <c r="D323" s="30" t="s">
        <v>211</v>
      </c>
      <c r="E323" s="30" t="s">
        <v>212</v>
      </c>
      <c r="F323" s="31" t="s">
        <v>213</v>
      </c>
    </row>
    <row r="324" spans="2:6" x14ac:dyDescent="0.3">
      <c r="B324" s="32" t="s">
        <v>214</v>
      </c>
      <c r="C324" s="33" t="s">
        <v>215</v>
      </c>
      <c r="D324" s="33" t="s">
        <v>215</v>
      </c>
      <c r="E324" s="33" t="s">
        <v>215</v>
      </c>
      <c r="F324" s="34" t="s">
        <v>216</v>
      </c>
    </row>
    <row r="325" spans="2:6" x14ac:dyDescent="0.3">
      <c r="B325" s="35" t="s">
        <v>217</v>
      </c>
      <c r="C325" s="3">
        <v>1</v>
      </c>
      <c r="D325" s="3">
        <v>1</v>
      </c>
      <c r="E325" s="3">
        <v>1</v>
      </c>
      <c r="F325" s="36">
        <v>2</v>
      </c>
    </row>
    <row r="326" spans="2:6" x14ac:dyDescent="0.3">
      <c r="B326" s="35" t="s">
        <v>218</v>
      </c>
      <c r="C326" s="19" t="s">
        <v>220</v>
      </c>
      <c r="D326" s="19" t="s">
        <v>239</v>
      </c>
      <c r="E326" s="19" t="s">
        <v>220</v>
      </c>
      <c r="F326" s="37" t="s">
        <v>220</v>
      </c>
    </row>
    <row r="327" spans="2:6" x14ac:dyDescent="0.3">
      <c r="B327" s="35" t="s">
        <v>185</v>
      </c>
      <c r="C327" s="19" t="s">
        <v>221</v>
      </c>
      <c r="D327" s="19" t="s">
        <v>236</v>
      </c>
      <c r="E327" s="19" t="s">
        <v>221</v>
      </c>
      <c r="F327" s="37" t="s">
        <v>221</v>
      </c>
    </row>
    <row r="328" spans="2:6" x14ac:dyDescent="0.3">
      <c r="B328" s="35" t="s">
        <v>223</v>
      </c>
      <c r="C328" s="3">
        <v>3</v>
      </c>
      <c r="D328" s="3">
        <v>3</v>
      </c>
      <c r="E328" s="3">
        <v>2</v>
      </c>
      <c r="F328" s="36">
        <v>3</v>
      </c>
    </row>
    <row r="329" spans="2:6" x14ac:dyDescent="0.3">
      <c r="B329" s="35" t="s">
        <v>224</v>
      </c>
      <c r="C329" s="2"/>
      <c r="D329" s="2">
        <v>150000</v>
      </c>
      <c r="E329" s="2">
        <v>145000</v>
      </c>
      <c r="F329" s="38">
        <v>135000</v>
      </c>
    </row>
    <row r="330" spans="2:6" x14ac:dyDescent="0.3">
      <c r="B330" s="35" t="s">
        <v>225</v>
      </c>
      <c r="C330" s="2"/>
      <c r="D330" s="2"/>
      <c r="E330" s="2"/>
      <c r="F330" s="38"/>
    </row>
    <row r="331" spans="2:6" x14ac:dyDescent="0.3">
      <c r="B331" s="35" t="s">
        <v>226</v>
      </c>
      <c r="C331" s="2"/>
      <c r="D331" s="2"/>
      <c r="E331" s="2"/>
      <c r="F331" s="38"/>
    </row>
    <row r="332" spans="2:6" x14ac:dyDescent="0.3">
      <c r="B332" s="35" t="s">
        <v>227</v>
      </c>
      <c r="C332" s="2"/>
      <c r="D332" s="2"/>
      <c r="E332" s="2"/>
      <c r="F332" s="38"/>
    </row>
    <row r="333" spans="2:6" x14ac:dyDescent="0.3">
      <c r="B333" s="35" t="s">
        <v>228</v>
      </c>
      <c r="C333" s="2"/>
      <c r="D333" s="2"/>
      <c r="E333" s="2"/>
      <c r="F333" s="38"/>
    </row>
    <row r="334" spans="2:6" x14ac:dyDescent="0.3">
      <c r="B334" s="35" t="s">
        <v>229</v>
      </c>
      <c r="C334" s="2"/>
      <c r="D334" s="2"/>
      <c r="E334" s="2"/>
      <c r="F334" s="38"/>
    </row>
    <row r="335" spans="2:6" x14ac:dyDescent="0.3">
      <c r="B335" s="35" t="s">
        <v>230</v>
      </c>
      <c r="C335" s="2"/>
      <c r="D335" s="2"/>
      <c r="E335" s="2"/>
      <c r="F335" s="38"/>
    </row>
    <row r="336" spans="2:6" ht="19.5" thickBot="1" x14ac:dyDescent="0.35">
      <c r="B336" s="39" t="s">
        <v>231</v>
      </c>
      <c r="C336" s="40"/>
      <c r="D336" s="40"/>
      <c r="E336" s="40"/>
      <c r="F336" s="41"/>
    </row>
    <row r="339" spans="2:4" ht="19.5" thickBot="1" x14ac:dyDescent="0.35">
      <c r="B339" s="1" t="s">
        <v>232</v>
      </c>
    </row>
    <row r="340" spans="2:4" ht="38.25" thickBot="1" x14ac:dyDescent="0.35">
      <c r="B340" s="42" t="s">
        <v>233</v>
      </c>
      <c r="C340" s="43" t="s">
        <v>234</v>
      </c>
      <c r="D340" s="44" t="s">
        <v>235</v>
      </c>
    </row>
    <row r="341" spans="2:4" x14ac:dyDescent="0.3">
      <c r="B341" s="32" t="s">
        <v>221</v>
      </c>
      <c r="C341" s="45">
        <v>181000</v>
      </c>
      <c r="D341" s="46">
        <v>165000</v>
      </c>
    </row>
    <row r="342" spans="2:4" x14ac:dyDescent="0.3">
      <c r="B342" s="35" t="s">
        <v>236</v>
      </c>
      <c r="C342" s="3">
        <v>169000</v>
      </c>
      <c r="D342" s="36">
        <v>145000</v>
      </c>
    </row>
    <row r="343" spans="2:4" ht="19.5" thickBot="1" x14ac:dyDescent="0.35">
      <c r="B343" s="39" t="s">
        <v>445</v>
      </c>
      <c r="C343" s="47">
        <v>172000</v>
      </c>
      <c r="D343" s="48">
        <v>151000</v>
      </c>
    </row>
    <row r="346" spans="2:4" ht="19.5" thickBot="1" x14ac:dyDescent="0.35">
      <c r="B346" s="1" t="s">
        <v>237</v>
      </c>
    </row>
    <row r="347" spans="2:4" ht="38.25" thickBot="1" x14ac:dyDescent="0.35">
      <c r="B347" s="42" t="s">
        <v>218</v>
      </c>
      <c r="C347" s="44" t="s">
        <v>238</v>
      </c>
    </row>
    <row r="348" spans="2:4" x14ac:dyDescent="0.3">
      <c r="B348" s="32" t="s">
        <v>239</v>
      </c>
      <c r="C348" s="46">
        <v>150000</v>
      </c>
    </row>
    <row r="349" spans="2:4" x14ac:dyDescent="0.3">
      <c r="B349" s="35" t="s">
        <v>220</v>
      </c>
      <c r="C349" s="36">
        <v>130000</v>
      </c>
    </row>
    <row r="350" spans="2:4" ht="19.5" thickBot="1" x14ac:dyDescent="0.35">
      <c r="B350" s="39" t="s">
        <v>219</v>
      </c>
      <c r="C350" s="48">
        <v>110000</v>
      </c>
    </row>
    <row r="353" spans="2:3" ht="19.5" thickBot="1" x14ac:dyDescent="0.35">
      <c r="B353" s="1" t="s">
        <v>240</v>
      </c>
    </row>
    <row r="354" spans="2:3" ht="94.5" thickBot="1" x14ac:dyDescent="0.35">
      <c r="B354" s="42" t="s">
        <v>241</v>
      </c>
      <c r="C354" s="44" t="s">
        <v>242</v>
      </c>
    </row>
    <row r="355" spans="2:3" x14ac:dyDescent="0.3">
      <c r="B355" s="32" t="s">
        <v>243</v>
      </c>
      <c r="C355" s="49">
        <v>-0.1</v>
      </c>
    </row>
    <row r="356" spans="2:3" x14ac:dyDescent="0.3">
      <c r="B356" s="35" t="s">
        <v>244</v>
      </c>
      <c r="C356" s="50">
        <v>-0.15</v>
      </c>
    </row>
    <row r="357" spans="2:3" ht="19.5" thickBot="1" x14ac:dyDescent="0.35">
      <c r="B357" s="39" t="s">
        <v>245</v>
      </c>
      <c r="C357" s="51">
        <v>0</v>
      </c>
    </row>
    <row r="360" spans="2:3" ht="19.5" thickBot="1" x14ac:dyDescent="0.35">
      <c r="B360" s="1" t="s">
        <v>246</v>
      </c>
    </row>
    <row r="361" spans="2:3" ht="75.75" thickBot="1" x14ac:dyDescent="0.35">
      <c r="B361" s="42" t="s">
        <v>217</v>
      </c>
      <c r="C361" s="44" t="s">
        <v>247</v>
      </c>
    </row>
    <row r="362" spans="2:3" x14ac:dyDescent="0.3">
      <c r="B362" s="52">
        <v>1</v>
      </c>
      <c r="C362" s="49">
        <v>0</v>
      </c>
    </row>
    <row r="363" spans="2:3" x14ac:dyDescent="0.3">
      <c r="B363" s="53">
        <v>2</v>
      </c>
      <c r="C363" s="50">
        <v>-0.05</v>
      </c>
    </row>
    <row r="364" spans="2:3" ht="19.5" thickBot="1" x14ac:dyDescent="0.35">
      <c r="B364" s="54">
        <v>3</v>
      </c>
      <c r="C364" s="51">
        <v>-0.1</v>
      </c>
    </row>
    <row r="371" spans="2:9" ht="19.5" thickBot="1" x14ac:dyDescent="0.35"/>
    <row r="372" spans="2:9" ht="19.5" thickBot="1" x14ac:dyDescent="0.35">
      <c r="B372" s="55" t="s">
        <v>210</v>
      </c>
      <c r="C372" s="56" t="s">
        <v>153</v>
      </c>
      <c r="D372" s="56" t="s">
        <v>211</v>
      </c>
      <c r="E372" s="56" t="s">
        <v>212</v>
      </c>
      <c r="F372" s="57" t="s">
        <v>213</v>
      </c>
    </row>
    <row r="373" spans="2:9" x14ac:dyDescent="0.3">
      <c r="B373" s="58" t="s">
        <v>248</v>
      </c>
      <c r="C373" s="59"/>
      <c r="D373" s="60">
        <v>-7.0000000000000007E-2</v>
      </c>
      <c r="E373" s="60">
        <v>-7.0000000000000007E-2</v>
      </c>
      <c r="F373" s="61">
        <v>-7.0000000000000007E-2</v>
      </c>
    </row>
    <row r="374" spans="2:9" x14ac:dyDescent="0.3">
      <c r="B374" s="62" t="s">
        <v>249</v>
      </c>
      <c r="C374" s="63"/>
      <c r="D374" s="64">
        <f>1+D373</f>
        <v>0.92999999999999994</v>
      </c>
      <c r="E374" s="64">
        <f t="shared" ref="E374:F374" si="1">1+E373</f>
        <v>0.92999999999999994</v>
      </c>
      <c r="F374" s="65">
        <f t="shared" si="1"/>
        <v>0.92999999999999994</v>
      </c>
    </row>
    <row r="375" spans="2:9" x14ac:dyDescent="0.3">
      <c r="B375" s="66" t="s">
        <v>250</v>
      </c>
      <c r="C375" s="17" t="s">
        <v>251</v>
      </c>
      <c r="D375" s="17" t="s">
        <v>251</v>
      </c>
      <c r="E375" s="17" t="s">
        <v>251</v>
      </c>
      <c r="F375" s="67" t="s">
        <v>252</v>
      </c>
    </row>
    <row r="376" spans="2:9" x14ac:dyDescent="0.3">
      <c r="B376" s="62" t="s">
        <v>253</v>
      </c>
      <c r="C376" s="17">
        <v>181000</v>
      </c>
      <c r="D376" s="17"/>
      <c r="E376" s="17"/>
      <c r="F376" s="67">
        <v>165000</v>
      </c>
    </row>
    <row r="377" spans="2:9" x14ac:dyDescent="0.3">
      <c r="B377" s="62" t="s">
        <v>254</v>
      </c>
      <c r="C377" s="63"/>
      <c r="D377" s="64">
        <v>1</v>
      </c>
      <c r="E377" s="64">
        <v>1</v>
      </c>
      <c r="F377" s="65">
        <f>C376/F376</f>
        <v>1.0969696969696969</v>
      </c>
      <c r="G377" s="68" t="s">
        <v>255</v>
      </c>
      <c r="H377" s="21" t="s">
        <v>146</v>
      </c>
      <c r="I377" s="21" t="s">
        <v>256</v>
      </c>
    </row>
    <row r="378" spans="2:9" x14ac:dyDescent="0.3">
      <c r="B378" s="66" t="s">
        <v>257</v>
      </c>
      <c r="C378" s="16">
        <v>1</v>
      </c>
      <c r="D378" s="16">
        <v>1</v>
      </c>
      <c r="E378" s="16">
        <v>1</v>
      </c>
      <c r="F378" s="69">
        <v>2</v>
      </c>
      <c r="G378" s="20">
        <v>1</v>
      </c>
      <c r="H378" s="10">
        <v>0</v>
      </c>
      <c r="I378" s="1">
        <v>1</v>
      </c>
    </row>
    <row r="379" spans="2:9" x14ac:dyDescent="0.3">
      <c r="B379" s="62" t="s">
        <v>253</v>
      </c>
      <c r="C379" s="17">
        <v>1</v>
      </c>
      <c r="D379" s="17"/>
      <c r="E379" s="17"/>
      <c r="F379" s="67">
        <v>0.95</v>
      </c>
      <c r="G379" s="20">
        <v>2</v>
      </c>
      <c r="H379" s="10">
        <v>-0.05</v>
      </c>
      <c r="I379" s="1">
        <v>0.95</v>
      </c>
    </row>
    <row r="380" spans="2:9" x14ac:dyDescent="0.3">
      <c r="B380" s="62" t="s">
        <v>258</v>
      </c>
      <c r="C380" s="63"/>
      <c r="D380" s="64">
        <v>1</v>
      </c>
      <c r="E380" s="64">
        <v>1</v>
      </c>
      <c r="F380" s="94">
        <f>C379/F379</f>
        <v>1.0526315789473684</v>
      </c>
      <c r="G380" s="20">
        <v>3</v>
      </c>
      <c r="H380" s="10">
        <v>-0.1</v>
      </c>
      <c r="I380" s="1">
        <v>0.9</v>
      </c>
    </row>
    <row r="381" spans="2:9" x14ac:dyDescent="0.3">
      <c r="B381" s="66" t="s">
        <v>259</v>
      </c>
      <c r="C381" s="17" t="s">
        <v>220</v>
      </c>
      <c r="D381" s="17" t="s">
        <v>239</v>
      </c>
      <c r="E381" s="17" t="s">
        <v>220</v>
      </c>
      <c r="F381" s="67" t="s">
        <v>220</v>
      </c>
    </row>
    <row r="382" spans="2:9" x14ac:dyDescent="0.3">
      <c r="B382" s="62" t="s">
        <v>253</v>
      </c>
      <c r="C382" s="17">
        <v>130000</v>
      </c>
      <c r="D382" s="17">
        <v>150000</v>
      </c>
      <c r="E382" s="17"/>
      <c r="F382" s="67"/>
    </row>
    <row r="383" spans="2:9" x14ac:dyDescent="0.3">
      <c r="B383" s="62" t="s">
        <v>260</v>
      </c>
      <c r="C383" s="63"/>
      <c r="D383" s="64">
        <f>C382/D382</f>
        <v>0.8666666666666667</v>
      </c>
      <c r="E383" s="64">
        <v>1</v>
      </c>
      <c r="F383" s="65">
        <v>1</v>
      </c>
    </row>
    <row r="384" spans="2:9" x14ac:dyDescent="0.3">
      <c r="B384" s="66" t="s">
        <v>261</v>
      </c>
      <c r="C384" s="17" t="s">
        <v>221</v>
      </c>
      <c r="D384" s="17" t="s">
        <v>236</v>
      </c>
      <c r="E384" s="17" t="s">
        <v>221</v>
      </c>
      <c r="F384" s="67" t="s">
        <v>221</v>
      </c>
    </row>
    <row r="385" spans="2:10" x14ac:dyDescent="0.3">
      <c r="B385" s="62" t="s">
        <v>253</v>
      </c>
      <c r="C385" s="17">
        <v>181000</v>
      </c>
      <c r="D385" s="17">
        <v>169000</v>
      </c>
      <c r="E385" s="17"/>
      <c r="F385" s="67"/>
      <c r="G385" s="68" t="s">
        <v>241</v>
      </c>
      <c r="H385" s="21" t="s">
        <v>146</v>
      </c>
      <c r="I385" s="21" t="s">
        <v>256</v>
      </c>
    </row>
    <row r="386" spans="2:10" x14ac:dyDescent="0.3">
      <c r="B386" s="62" t="s">
        <v>262</v>
      </c>
      <c r="C386" s="63"/>
      <c r="D386" s="64">
        <f>C385/D385</f>
        <v>1.0710059171597632</v>
      </c>
      <c r="E386" s="64">
        <v>1</v>
      </c>
      <c r="F386" s="65">
        <v>1</v>
      </c>
      <c r="G386" s="20">
        <v>1</v>
      </c>
      <c r="H386" s="10">
        <v>-0.1</v>
      </c>
      <c r="I386" s="70">
        <f>I387*(1+H386)</f>
        <v>0.76500000000000001</v>
      </c>
      <c r="J386" s="70"/>
    </row>
    <row r="387" spans="2:10" x14ac:dyDescent="0.3">
      <c r="B387" s="66" t="s">
        <v>263</v>
      </c>
      <c r="C387" s="16">
        <v>3</v>
      </c>
      <c r="D387" s="16">
        <v>3</v>
      </c>
      <c r="E387" s="16">
        <v>2</v>
      </c>
      <c r="F387" s="69">
        <v>3</v>
      </c>
      <c r="G387" s="20">
        <v>2</v>
      </c>
      <c r="H387" s="10">
        <v>-0.15</v>
      </c>
      <c r="I387" s="1">
        <f>I388*(1+H387)</f>
        <v>0.85</v>
      </c>
    </row>
    <row r="388" spans="2:10" x14ac:dyDescent="0.3">
      <c r="B388" s="62" t="s">
        <v>253</v>
      </c>
      <c r="C388" s="17">
        <v>1</v>
      </c>
      <c r="D388" s="17"/>
      <c r="E388" s="17">
        <v>0.85</v>
      </c>
      <c r="F388" s="67"/>
      <c r="G388" s="20">
        <v>3</v>
      </c>
      <c r="H388" s="10">
        <v>0</v>
      </c>
      <c r="I388" s="1">
        <v>1</v>
      </c>
    </row>
    <row r="389" spans="2:10" x14ac:dyDescent="0.3">
      <c r="B389" s="62" t="s">
        <v>264</v>
      </c>
      <c r="C389" s="63"/>
      <c r="D389" s="64">
        <v>1</v>
      </c>
      <c r="E389" s="64">
        <f>C388/E388</f>
        <v>1.1764705882352942</v>
      </c>
      <c r="F389" s="65">
        <v>1</v>
      </c>
    </row>
    <row r="390" spans="2:10" x14ac:dyDescent="0.3">
      <c r="B390" s="35" t="s">
        <v>265</v>
      </c>
      <c r="C390" s="17"/>
      <c r="D390" s="17">
        <f>D374*D377*D380*D383*D386*D389</f>
        <v>0.86323076923076913</v>
      </c>
      <c r="E390" s="17">
        <f>E374*E377*E380*E383*E386*E389</f>
        <v>1.0941176470588234</v>
      </c>
      <c r="F390" s="67">
        <f>F374*F377*F380*F383*F386*F389</f>
        <v>1.0738755980861243</v>
      </c>
    </row>
    <row r="391" spans="2:10" x14ac:dyDescent="0.3">
      <c r="B391" s="35" t="s">
        <v>266</v>
      </c>
      <c r="C391" s="17"/>
      <c r="D391" s="17">
        <v>150000</v>
      </c>
      <c r="E391" s="17">
        <v>145000</v>
      </c>
      <c r="F391" s="67">
        <v>135000</v>
      </c>
    </row>
    <row r="392" spans="2:10" x14ac:dyDescent="0.3">
      <c r="B392" s="35" t="s">
        <v>179</v>
      </c>
      <c r="C392" s="17"/>
      <c r="D392" s="17">
        <f>D390*D391</f>
        <v>129484.61538461538</v>
      </c>
      <c r="E392" s="17">
        <f>E390*E391</f>
        <v>158647.0588235294</v>
      </c>
      <c r="F392" s="67">
        <f>F390*F391</f>
        <v>144973.20574162679</v>
      </c>
    </row>
    <row r="393" spans="2:10" x14ac:dyDescent="0.3">
      <c r="B393" s="35" t="s">
        <v>267</v>
      </c>
      <c r="C393" s="17"/>
      <c r="D393" s="17">
        <f>1/3</f>
        <v>0.33333333333333331</v>
      </c>
      <c r="E393" s="17">
        <f>1/3</f>
        <v>0.33333333333333331</v>
      </c>
      <c r="F393" s="67">
        <f>1/3</f>
        <v>0.33333333333333331</v>
      </c>
    </row>
    <row r="394" spans="2:10" x14ac:dyDescent="0.3">
      <c r="B394" s="35"/>
      <c r="C394" s="17">
        <f>D394+E394+F394</f>
        <v>144368.29331659051</v>
      </c>
      <c r="D394" s="17">
        <f>D392*D393</f>
        <v>43161.538461538454</v>
      </c>
      <c r="E394" s="17">
        <f>E392*E393</f>
        <v>52882.352941176461</v>
      </c>
      <c r="F394" s="67">
        <f>F392*F393</f>
        <v>48324.401913875598</v>
      </c>
    </row>
    <row r="395" spans="2:10" x14ac:dyDescent="0.3">
      <c r="B395" s="35"/>
      <c r="C395" s="17" t="s">
        <v>268</v>
      </c>
      <c r="D395" s="17"/>
      <c r="E395" s="17"/>
      <c r="F395" s="67"/>
    </row>
    <row r="396" spans="2:10" x14ac:dyDescent="0.3">
      <c r="B396" s="35"/>
      <c r="C396" s="17">
        <f>(D392+E392+F392)/3</f>
        <v>144368.29331659051</v>
      </c>
      <c r="D396" s="17"/>
      <c r="E396" s="17"/>
      <c r="F396" s="67"/>
    </row>
    <row r="397" spans="2:10" x14ac:dyDescent="0.3">
      <c r="B397" s="35"/>
      <c r="C397" s="17" t="s">
        <v>268</v>
      </c>
      <c r="D397" s="17"/>
      <c r="E397" s="17"/>
      <c r="F397" s="67"/>
    </row>
    <row r="398" spans="2:10" x14ac:dyDescent="0.3">
      <c r="B398" s="35" t="s">
        <v>269</v>
      </c>
      <c r="C398" s="17">
        <f>AVERAGE(D392:F392)</f>
        <v>144368.29331659051</v>
      </c>
      <c r="D398" s="17"/>
      <c r="E398" s="17"/>
      <c r="F398" s="67"/>
    </row>
    <row r="399" spans="2:10" x14ac:dyDescent="0.3">
      <c r="B399" s="35" t="s">
        <v>110</v>
      </c>
      <c r="C399" s="2">
        <v>43</v>
      </c>
      <c r="D399" s="2"/>
      <c r="E399" s="2"/>
      <c r="F399" s="38"/>
    </row>
    <row r="400" spans="2:10" x14ac:dyDescent="0.3">
      <c r="B400" s="35" t="s">
        <v>80</v>
      </c>
      <c r="C400" s="2">
        <f>C398*C399</f>
        <v>6207836.6126133921</v>
      </c>
      <c r="D400" s="2"/>
      <c r="E400" s="2"/>
      <c r="F400" s="38"/>
    </row>
    <row r="401" spans="2:10" ht="19.5" thickBot="1" x14ac:dyDescent="0.35">
      <c r="B401" s="39" t="s">
        <v>270</v>
      </c>
      <c r="C401" s="86">
        <f>ROUND(C400,-3)</f>
        <v>6208000</v>
      </c>
      <c r="D401" s="40"/>
      <c r="E401" s="40"/>
      <c r="F401" s="41"/>
    </row>
    <row r="403" spans="2:10" ht="19.5" thickBot="1" x14ac:dyDescent="0.35"/>
    <row r="404" spans="2:10" ht="41.25" customHeight="1" thickBot="1" x14ac:dyDescent="0.35">
      <c r="B404" s="161" t="s">
        <v>447</v>
      </c>
      <c r="C404" s="162"/>
      <c r="D404" s="162"/>
      <c r="E404" s="162"/>
      <c r="F404" s="162"/>
      <c r="G404" s="162"/>
      <c r="H404" s="162"/>
      <c r="I404" s="162"/>
      <c r="J404" s="163"/>
    </row>
    <row r="407" spans="2:10" x14ac:dyDescent="0.3">
      <c r="B407" s="2" t="s">
        <v>448</v>
      </c>
      <c r="C407" s="95">
        <v>1.28</v>
      </c>
      <c r="D407" s="113">
        <v>2.2799999999999998</v>
      </c>
    </row>
    <row r="408" spans="2:10" x14ac:dyDescent="0.3">
      <c r="B408" s="2" t="s">
        <v>449</v>
      </c>
      <c r="C408" s="95">
        <v>0.37</v>
      </c>
      <c r="D408" s="113">
        <v>1.37</v>
      </c>
    </row>
    <row r="409" spans="2:10" x14ac:dyDescent="0.3">
      <c r="B409" s="2" t="s">
        <v>450</v>
      </c>
      <c r="C409" s="2">
        <v>200</v>
      </c>
      <c r="D409" s="113"/>
    </row>
    <row r="410" spans="2:10" x14ac:dyDescent="0.3">
      <c r="B410" s="2" t="s">
        <v>35</v>
      </c>
      <c r="C410" s="2"/>
      <c r="D410" s="113"/>
    </row>
    <row r="411" spans="2:10" x14ac:dyDescent="0.3">
      <c r="B411" s="2" t="s">
        <v>278</v>
      </c>
      <c r="C411" s="2">
        <f>(1+C407)/(1+C408)</f>
        <v>1.6642335766423357</v>
      </c>
      <c r="D411" s="113">
        <f>D407/D408</f>
        <v>1.6642335766423355</v>
      </c>
    </row>
    <row r="412" spans="2:10" x14ac:dyDescent="0.3">
      <c r="B412" s="2" t="s">
        <v>451</v>
      </c>
      <c r="C412" s="82">
        <f>C409*C411</f>
        <v>332.84671532846716</v>
      </c>
    </row>
    <row r="414" spans="2:10" ht="19.5" thickBot="1" x14ac:dyDescent="0.35"/>
    <row r="415" spans="2:10" ht="41.25" customHeight="1" thickBot="1" x14ac:dyDescent="0.35">
      <c r="B415" s="161" t="s">
        <v>498</v>
      </c>
      <c r="C415" s="162"/>
      <c r="D415" s="162"/>
      <c r="E415" s="162"/>
      <c r="F415" s="162"/>
      <c r="G415" s="162"/>
      <c r="H415" s="162"/>
      <c r="I415" s="162"/>
      <c r="J415" s="163"/>
    </row>
    <row r="418" spans="1:10" x14ac:dyDescent="0.3">
      <c r="B418" s="90" t="s">
        <v>499</v>
      </c>
    </row>
    <row r="419" spans="1:10" x14ac:dyDescent="0.3">
      <c r="B419" s="90" t="s">
        <v>500</v>
      </c>
    </row>
    <row r="420" spans="1:10" x14ac:dyDescent="0.3">
      <c r="B420" s="90" t="s">
        <v>501</v>
      </c>
    </row>
    <row r="423" spans="1:10" ht="19.5" thickBot="1" x14ac:dyDescent="0.35"/>
    <row r="424" spans="1:10" ht="114.75" customHeight="1" thickBot="1" x14ac:dyDescent="0.35">
      <c r="B424" s="161" t="s">
        <v>675</v>
      </c>
      <c r="C424" s="162"/>
      <c r="D424" s="162"/>
      <c r="E424" s="162"/>
      <c r="F424" s="162"/>
      <c r="G424" s="162"/>
      <c r="H424" s="162"/>
      <c r="I424" s="162"/>
      <c r="J424" s="163"/>
    </row>
    <row r="427" spans="1:10" x14ac:dyDescent="0.3">
      <c r="A427" s="20"/>
      <c r="B427" s="157" t="s">
        <v>171</v>
      </c>
      <c r="C427" s="63" t="s">
        <v>172</v>
      </c>
      <c r="D427" s="63" t="s">
        <v>173</v>
      </c>
      <c r="E427" s="63" t="s">
        <v>174</v>
      </c>
    </row>
    <row r="428" spans="1:10" x14ac:dyDescent="0.3">
      <c r="A428" s="96">
        <v>1</v>
      </c>
      <c r="B428" s="26" t="s">
        <v>676</v>
      </c>
      <c r="C428" s="17">
        <v>600000</v>
      </c>
      <c r="D428" s="17">
        <v>2</v>
      </c>
      <c r="E428" s="17" t="s">
        <v>176</v>
      </c>
    </row>
    <row r="429" spans="1:10" x14ac:dyDescent="0.3">
      <c r="A429" s="96">
        <v>2</v>
      </c>
      <c r="B429" s="26" t="s">
        <v>168</v>
      </c>
      <c r="C429" s="17">
        <v>800000</v>
      </c>
      <c r="D429" s="17">
        <v>2.2000000000000002</v>
      </c>
      <c r="E429" s="17" t="s">
        <v>176</v>
      </c>
    </row>
    <row r="430" spans="1:10" ht="37.5" x14ac:dyDescent="0.3">
      <c r="A430" s="96">
        <v>3</v>
      </c>
      <c r="B430" s="27" t="s">
        <v>452</v>
      </c>
      <c r="C430" s="17">
        <v>400000</v>
      </c>
      <c r="D430" s="17">
        <v>2.2000000000000002</v>
      </c>
      <c r="E430" s="17" t="s">
        <v>176</v>
      </c>
    </row>
    <row r="431" spans="1:10" x14ac:dyDescent="0.3">
      <c r="A431" s="96">
        <v>4</v>
      </c>
      <c r="B431" s="27" t="s">
        <v>453</v>
      </c>
      <c r="C431" s="17">
        <v>500000</v>
      </c>
      <c r="D431" s="17">
        <v>1.8</v>
      </c>
      <c r="E431" s="17" t="s">
        <v>176</v>
      </c>
    </row>
    <row r="432" spans="1:10" ht="37.5" x14ac:dyDescent="0.3">
      <c r="A432" s="96">
        <v>5</v>
      </c>
      <c r="B432" s="27" t="s">
        <v>677</v>
      </c>
      <c r="C432" s="17">
        <v>700000</v>
      </c>
      <c r="D432" s="17">
        <v>1.8</v>
      </c>
      <c r="E432" s="17" t="s">
        <v>175</v>
      </c>
    </row>
    <row r="435" spans="2:10" x14ac:dyDescent="0.3">
      <c r="B435" s="2"/>
      <c r="C435" s="2" t="s">
        <v>177</v>
      </c>
      <c r="D435" s="2" t="s">
        <v>454</v>
      </c>
      <c r="E435" s="2" t="s">
        <v>166</v>
      </c>
    </row>
    <row r="436" spans="2:10" x14ac:dyDescent="0.3">
      <c r="B436" s="2" t="s">
        <v>178</v>
      </c>
      <c r="C436" s="2"/>
      <c r="D436" s="2">
        <v>600000</v>
      </c>
      <c r="E436" s="2">
        <v>700000</v>
      </c>
    </row>
    <row r="437" spans="2:10" x14ac:dyDescent="0.3">
      <c r="B437" s="2" t="s">
        <v>180</v>
      </c>
      <c r="C437" s="2">
        <v>2</v>
      </c>
      <c r="D437" s="2">
        <v>2</v>
      </c>
      <c r="E437" s="2">
        <v>1.8</v>
      </c>
    </row>
    <row r="438" spans="2:10" x14ac:dyDescent="0.3">
      <c r="B438" s="2" t="s">
        <v>181</v>
      </c>
      <c r="C438" s="2"/>
      <c r="D438" s="2">
        <f>D436/D437</f>
        <v>300000</v>
      </c>
      <c r="E438" s="2">
        <f>E436/E437</f>
        <v>388888.88888888888</v>
      </c>
    </row>
    <row r="439" spans="2:10" x14ac:dyDescent="0.3">
      <c r="B439" s="2" t="s">
        <v>162</v>
      </c>
      <c r="C439" s="2"/>
      <c r="D439" s="5">
        <v>-7.0000000000000007E-2</v>
      </c>
      <c r="E439" s="5">
        <v>-7.0000000000000007E-2</v>
      </c>
    </row>
    <row r="440" spans="2:10" x14ac:dyDescent="0.3">
      <c r="B440" s="2" t="s">
        <v>179</v>
      </c>
      <c r="C440" s="2"/>
      <c r="D440" s="2">
        <f>D438*(1+D439)</f>
        <v>279000</v>
      </c>
      <c r="E440" s="2">
        <f>E438*(1+E439)</f>
        <v>361666.66666666663</v>
      </c>
    </row>
    <row r="441" spans="2:10" x14ac:dyDescent="0.3">
      <c r="B441" s="2" t="s">
        <v>134</v>
      </c>
      <c r="C441" s="2"/>
      <c r="D441" s="5">
        <v>0</v>
      </c>
      <c r="E441" s="5">
        <v>-0.03</v>
      </c>
    </row>
    <row r="442" spans="2:10" x14ac:dyDescent="0.3">
      <c r="B442" s="2" t="s">
        <v>179</v>
      </c>
      <c r="C442" s="2"/>
      <c r="D442" s="2">
        <f>D440*(1+D441)</f>
        <v>279000</v>
      </c>
      <c r="E442" s="2">
        <f>E440*(1+E441)</f>
        <v>350816.66666666663</v>
      </c>
    </row>
    <row r="443" spans="2:10" x14ac:dyDescent="0.3">
      <c r="B443" s="2" t="s">
        <v>182</v>
      </c>
      <c r="C443" s="2">
        <f>(D442+E442)/2</f>
        <v>314908.33333333331</v>
      </c>
      <c r="D443" s="2"/>
      <c r="E443" s="2"/>
    </row>
    <row r="444" spans="2:10" x14ac:dyDescent="0.3">
      <c r="B444" s="2" t="s">
        <v>53</v>
      </c>
      <c r="C444" s="82">
        <f>C443*C437</f>
        <v>629816.66666666663</v>
      </c>
      <c r="D444" s="2"/>
      <c r="E444" s="2"/>
    </row>
    <row r="446" spans="2:10" ht="19.5" thickBot="1" x14ac:dyDescent="0.35"/>
    <row r="447" spans="2:10" ht="149.25" customHeight="1" thickBot="1" x14ac:dyDescent="0.35">
      <c r="B447" s="161" t="s">
        <v>678</v>
      </c>
      <c r="C447" s="162"/>
      <c r="D447" s="162"/>
      <c r="E447" s="162"/>
      <c r="F447" s="162"/>
      <c r="G447" s="162"/>
      <c r="H447" s="162"/>
      <c r="I447" s="162"/>
      <c r="J447" s="163"/>
    </row>
    <row r="450" spans="2:6" x14ac:dyDescent="0.3">
      <c r="B450" s="14" t="s">
        <v>593</v>
      </c>
      <c r="C450" s="19" t="s">
        <v>153</v>
      </c>
      <c r="D450" s="19" t="s">
        <v>204</v>
      </c>
      <c r="E450" s="19" t="s">
        <v>205</v>
      </c>
    </row>
    <row r="451" spans="2:6" x14ac:dyDescent="0.3">
      <c r="B451" s="2" t="s">
        <v>178</v>
      </c>
      <c r="C451" s="2"/>
      <c r="D451" s="2">
        <v>15000000</v>
      </c>
      <c r="E451" s="2">
        <v>60000000</v>
      </c>
    </row>
    <row r="452" spans="2:6" x14ac:dyDescent="0.3">
      <c r="B452" s="2" t="s">
        <v>203</v>
      </c>
      <c r="C452" s="2">
        <v>15000</v>
      </c>
      <c r="D452" s="2">
        <v>5000</v>
      </c>
      <c r="E452" s="2">
        <v>20000</v>
      </c>
    </row>
    <row r="453" spans="2:6" x14ac:dyDescent="0.3">
      <c r="B453" s="2" t="s">
        <v>206</v>
      </c>
      <c r="C453" s="2">
        <v>2</v>
      </c>
      <c r="D453" s="2">
        <v>1</v>
      </c>
      <c r="E453" s="2">
        <v>2.5</v>
      </c>
    </row>
    <row r="454" spans="2:6" x14ac:dyDescent="0.3">
      <c r="B454" s="2" t="s">
        <v>181</v>
      </c>
      <c r="C454" s="2"/>
      <c r="D454" s="2">
        <f>D451/D453</f>
        <v>15000000</v>
      </c>
      <c r="E454" s="2">
        <f>E451/E453</f>
        <v>24000000</v>
      </c>
    </row>
    <row r="455" spans="2:6" x14ac:dyDescent="0.3">
      <c r="B455" s="2" t="s">
        <v>207</v>
      </c>
      <c r="C455" s="2">
        <f>C452/C453</f>
        <v>7500</v>
      </c>
      <c r="D455" s="2">
        <f t="shared" ref="D455:E455" si="2">D452/D453</f>
        <v>5000</v>
      </c>
      <c r="E455" s="2">
        <f t="shared" si="2"/>
        <v>8000</v>
      </c>
    </row>
    <row r="456" spans="2:6" x14ac:dyDescent="0.3">
      <c r="B456" s="2" t="s">
        <v>146</v>
      </c>
      <c r="C456" s="2"/>
      <c r="D456" s="2">
        <f>C455/D455</f>
        <v>1.5</v>
      </c>
      <c r="E456" s="18">
        <f>C455/E455</f>
        <v>0.9375</v>
      </c>
      <c r="F456" s="90" t="s">
        <v>537</v>
      </c>
    </row>
    <row r="457" spans="2:6" x14ac:dyDescent="0.3">
      <c r="B457" s="2" t="s">
        <v>208</v>
      </c>
      <c r="C457" s="2"/>
      <c r="D457" s="2">
        <f>D454*D456</f>
        <v>22500000</v>
      </c>
      <c r="E457" s="2">
        <f>E454*E456</f>
        <v>22500000</v>
      </c>
    </row>
    <row r="458" spans="2:6" x14ac:dyDescent="0.3">
      <c r="B458" s="2" t="s">
        <v>182</v>
      </c>
      <c r="C458" s="2">
        <f>AVERAGE(D457:E457)</f>
        <v>22500000</v>
      </c>
      <c r="D458" s="2"/>
      <c r="E458" s="2"/>
    </row>
    <row r="459" spans="2:6" x14ac:dyDescent="0.3">
      <c r="B459" s="2" t="s">
        <v>53</v>
      </c>
      <c r="C459" s="82">
        <f>C458*C453</f>
        <v>45000000</v>
      </c>
      <c r="D459" s="2"/>
      <c r="E459" s="2"/>
    </row>
    <row r="461" spans="2:6" x14ac:dyDescent="0.3">
      <c r="B461" s="14" t="s">
        <v>594</v>
      </c>
      <c r="C461" s="19" t="s">
        <v>153</v>
      </c>
      <c r="D461" s="19" t="s">
        <v>204</v>
      </c>
      <c r="E461" s="19" t="s">
        <v>205</v>
      </c>
    </row>
    <row r="462" spans="2:6" x14ac:dyDescent="0.3">
      <c r="B462" s="2" t="s">
        <v>178</v>
      </c>
      <c r="C462" s="2"/>
      <c r="D462" s="2">
        <v>15000000</v>
      </c>
      <c r="E462" s="2">
        <v>60000000</v>
      </c>
    </row>
    <row r="463" spans="2:6" x14ac:dyDescent="0.3">
      <c r="B463" s="2" t="s">
        <v>203</v>
      </c>
      <c r="C463" s="2">
        <v>15000</v>
      </c>
      <c r="D463" s="2">
        <v>5000</v>
      </c>
      <c r="E463" s="2">
        <v>20000</v>
      </c>
    </row>
    <row r="464" spans="2:6" x14ac:dyDescent="0.3">
      <c r="B464" s="2" t="s">
        <v>660</v>
      </c>
      <c r="C464" s="9">
        <f>AVERAGE(D464:E464)</f>
        <v>3000</v>
      </c>
      <c r="D464" s="2">
        <f>D462/D463</f>
        <v>3000</v>
      </c>
      <c r="E464" s="2">
        <f>E462/E463</f>
        <v>3000</v>
      </c>
      <c r="F464" s="90" t="s">
        <v>595</v>
      </c>
    </row>
    <row r="465" spans="2:10" x14ac:dyDescent="0.3">
      <c r="B465" s="2"/>
      <c r="C465" s="82">
        <f>C463*C464</f>
        <v>45000000</v>
      </c>
      <c r="D465" s="2"/>
      <c r="E465" s="2"/>
    </row>
    <row r="467" spans="2:10" ht="19.5" thickBot="1" x14ac:dyDescent="0.35"/>
    <row r="468" spans="2:10" ht="19.5" thickBot="1" x14ac:dyDescent="0.35">
      <c r="B468" s="161" t="s">
        <v>599</v>
      </c>
      <c r="C468" s="162"/>
      <c r="D468" s="162"/>
      <c r="E468" s="162"/>
      <c r="F468" s="162"/>
      <c r="G468" s="162"/>
      <c r="H468" s="162"/>
      <c r="I468" s="162"/>
      <c r="J468" s="163"/>
    </row>
    <row r="470" spans="2:10" x14ac:dyDescent="0.3">
      <c r="B470" s="2" t="s">
        <v>596</v>
      </c>
      <c r="C470" s="2">
        <v>2500000</v>
      </c>
    </row>
    <row r="471" spans="2:10" x14ac:dyDescent="0.3">
      <c r="B471" s="2" t="s">
        <v>597</v>
      </c>
      <c r="C471" s="2">
        <v>3.4</v>
      </c>
      <c r="E471" s="156">
        <v>2005</v>
      </c>
      <c r="F471" s="156">
        <v>2010</v>
      </c>
      <c r="G471" s="156">
        <v>2017</v>
      </c>
    </row>
    <row r="472" spans="2:10" x14ac:dyDescent="0.3">
      <c r="B472" s="2" t="s">
        <v>598</v>
      </c>
      <c r="C472" s="2">
        <v>1.7</v>
      </c>
    </row>
    <row r="473" spans="2:10" x14ac:dyDescent="0.3">
      <c r="B473" s="2"/>
      <c r="C473" s="82">
        <f>C470/C471*C472</f>
        <v>1250000</v>
      </c>
    </row>
    <row r="475" spans="2:10" ht="19.5" thickBot="1" x14ac:dyDescent="0.35"/>
    <row r="476" spans="2:10" ht="59.25" customHeight="1" thickBot="1" x14ac:dyDescent="0.35">
      <c r="B476" s="161" t="s">
        <v>679</v>
      </c>
      <c r="C476" s="162"/>
      <c r="D476" s="162"/>
      <c r="E476" s="162"/>
      <c r="F476" s="162"/>
      <c r="G476" s="162"/>
      <c r="H476" s="162"/>
      <c r="I476" s="162"/>
      <c r="J476" s="163"/>
    </row>
    <row r="478" spans="2:10" x14ac:dyDescent="0.3">
      <c r="B478" s="1" t="s">
        <v>661</v>
      </c>
    </row>
    <row r="481" spans="2:10" ht="19.5" thickBot="1" x14ac:dyDescent="0.35"/>
    <row r="482" spans="2:10" ht="41.25" customHeight="1" thickBot="1" x14ac:dyDescent="0.35">
      <c r="B482" s="161" t="s">
        <v>730</v>
      </c>
      <c r="C482" s="162"/>
      <c r="D482" s="162"/>
      <c r="E482" s="162"/>
      <c r="F482" s="162"/>
      <c r="G482" s="162"/>
      <c r="H482" s="162"/>
      <c r="I482" s="162"/>
      <c r="J482" s="163"/>
    </row>
    <row r="485" spans="2:10" x14ac:dyDescent="0.3">
      <c r="B485" s="2" t="s">
        <v>731</v>
      </c>
      <c r="C485" s="2">
        <v>8</v>
      </c>
    </row>
    <row r="486" spans="2:10" x14ac:dyDescent="0.3">
      <c r="B486" s="2" t="s">
        <v>732</v>
      </c>
      <c r="C486" s="95">
        <v>0.02</v>
      </c>
    </row>
    <row r="487" spans="2:10" x14ac:dyDescent="0.3">
      <c r="B487" s="14" t="s">
        <v>35</v>
      </c>
      <c r="C487" s="2"/>
    </row>
    <row r="488" spans="2:10" x14ac:dyDescent="0.3">
      <c r="B488" s="2" t="s">
        <v>733</v>
      </c>
      <c r="C488" s="18">
        <v>1</v>
      </c>
    </row>
    <row r="489" spans="2:10" x14ac:dyDescent="0.3">
      <c r="B489" s="2" t="s">
        <v>734</v>
      </c>
      <c r="C489" s="18">
        <f>(1+C486)^C485</f>
        <v>1.1716593810022655</v>
      </c>
    </row>
    <row r="490" spans="2:10" x14ac:dyDescent="0.3">
      <c r="B490" s="2" t="s">
        <v>735</v>
      </c>
      <c r="C490" s="139">
        <f>C489/C488-1</f>
        <v>0.17165938100226552</v>
      </c>
    </row>
    <row r="491" spans="2:10" x14ac:dyDescent="0.3">
      <c r="B491" s="2" t="s">
        <v>66</v>
      </c>
      <c r="C491" s="2"/>
    </row>
    <row r="492" spans="2:10" x14ac:dyDescent="0.3">
      <c r="B492" s="2" t="s">
        <v>734</v>
      </c>
      <c r="C492" s="2">
        <v>1</v>
      </c>
    </row>
    <row r="493" spans="2:10" x14ac:dyDescent="0.3">
      <c r="B493" s="2" t="s">
        <v>733</v>
      </c>
      <c r="C493" s="18">
        <f>1/(1+C486)^C485</f>
        <v>0.85349037119011162</v>
      </c>
    </row>
    <row r="494" spans="2:10" x14ac:dyDescent="0.3">
      <c r="B494" s="2" t="s">
        <v>735</v>
      </c>
      <c r="C494" s="139">
        <f>C492/C493-1</f>
        <v>0.17165938100226552</v>
      </c>
    </row>
    <row r="497" spans="2:10" ht="19.5" thickBot="1" x14ac:dyDescent="0.35"/>
    <row r="498" spans="2:10" ht="129.75" customHeight="1" thickBot="1" x14ac:dyDescent="0.35">
      <c r="B498" s="161" t="s">
        <v>736</v>
      </c>
      <c r="C498" s="162"/>
      <c r="D498" s="162"/>
      <c r="E498" s="162"/>
      <c r="F498" s="162"/>
      <c r="G498" s="162"/>
      <c r="H498" s="162"/>
      <c r="I498" s="162"/>
      <c r="J498" s="163"/>
    </row>
    <row r="500" spans="2:10" x14ac:dyDescent="0.3">
      <c r="B500" s="2" t="s">
        <v>197</v>
      </c>
      <c r="C500" s="19" t="s">
        <v>178</v>
      </c>
      <c r="D500" s="19" t="s">
        <v>737</v>
      </c>
      <c r="E500" s="19" t="s">
        <v>180</v>
      </c>
      <c r="F500" s="19" t="s">
        <v>738</v>
      </c>
      <c r="G500" s="165" t="s">
        <v>171</v>
      </c>
      <c r="H500" s="165"/>
      <c r="I500" s="165"/>
      <c r="J500" s="165"/>
    </row>
    <row r="501" spans="2:10" x14ac:dyDescent="0.3">
      <c r="B501" s="2" t="s">
        <v>454</v>
      </c>
      <c r="C501" s="19">
        <v>16000000</v>
      </c>
      <c r="D501" s="19" t="s">
        <v>161</v>
      </c>
      <c r="E501" s="19">
        <v>0.7</v>
      </c>
      <c r="F501" s="19" t="s">
        <v>739</v>
      </c>
      <c r="G501" s="164" t="s">
        <v>741</v>
      </c>
      <c r="H501" s="164"/>
      <c r="I501" s="164"/>
      <c r="J501" s="164"/>
    </row>
    <row r="502" spans="2:10" x14ac:dyDescent="0.3">
      <c r="B502" s="2" t="s">
        <v>163</v>
      </c>
      <c r="C502" s="19">
        <v>18000000</v>
      </c>
      <c r="D502" s="19" t="s">
        <v>161</v>
      </c>
      <c r="E502" s="19">
        <v>1.2</v>
      </c>
      <c r="F502" s="19" t="s">
        <v>739</v>
      </c>
      <c r="G502" s="164" t="s">
        <v>742</v>
      </c>
      <c r="H502" s="164"/>
      <c r="I502" s="164"/>
      <c r="J502" s="164"/>
    </row>
    <row r="503" spans="2:10" x14ac:dyDescent="0.3">
      <c r="B503" s="2" t="s">
        <v>165</v>
      </c>
      <c r="C503" s="19">
        <v>20000000</v>
      </c>
      <c r="D503" s="19" t="s">
        <v>160</v>
      </c>
      <c r="E503" s="19">
        <v>0.9</v>
      </c>
      <c r="F503" s="19" t="s">
        <v>740</v>
      </c>
      <c r="G503" s="164" t="s">
        <v>743</v>
      </c>
      <c r="H503" s="164"/>
      <c r="I503" s="164"/>
      <c r="J503" s="164"/>
    </row>
    <row r="505" spans="2:10" x14ac:dyDescent="0.3">
      <c r="B505" s="11" t="s">
        <v>748</v>
      </c>
    </row>
    <row r="506" spans="2:10" x14ac:dyDescent="0.3">
      <c r="B506" s="2" t="s">
        <v>354</v>
      </c>
      <c r="C506" s="19" t="s">
        <v>153</v>
      </c>
      <c r="D506" s="19" t="s">
        <v>212</v>
      </c>
      <c r="E506" s="19" t="s">
        <v>213</v>
      </c>
    </row>
    <row r="507" spans="2:10" x14ac:dyDescent="0.3">
      <c r="B507" s="2" t="s">
        <v>178</v>
      </c>
      <c r="C507" s="19"/>
      <c r="D507" s="19">
        <v>18000000</v>
      </c>
      <c r="E507" s="19">
        <v>20000000</v>
      </c>
    </row>
    <row r="508" spans="2:10" x14ac:dyDescent="0.3">
      <c r="B508" s="2" t="s">
        <v>180</v>
      </c>
      <c r="C508" s="19">
        <v>1</v>
      </c>
      <c r="D508" s="19">
        <v>1.2</v>
      </c>
      <c r="E508" s="19">
        <v>0.9</v>
      </c>
    </row>
    <row r="509" spans="2:10" x14ac:dyDescent="0.3">
      <c r="B509" s="2" t="s">
        <v>181</v>
      </c>
      <c r="C509" s="19"/>
      <c r="D509" s="19">
        <f>D507/D508</f>
        <v>15000000</v>
      </c>
      <c r="E509" s="19">
        <f>E507/E508</f>
        <v>22222222.22222222</v>
      </c>
    </row>
    <row r="510" spans="2:10" x14ac:dyDescent="0.3">
      <c r="B510" s="2" t="s">
        <v>737</v>
      </c>
      <c r="C510" s="19" t="s">
        <v>161</v>
      </c>
      <c r="D510" s="19" t="s">
        <v>161</v>
      </c>
      <c r="E510" s="19" t="s">
        <v>160</v>
      </c>
    </row>
    <row r="511" spans="2:10" x14ac:dyDescent="0.3">
      <c r="B511" s="28" t="s">
        <v>146</v>
      </c>
      <c r="C511" s="19"/>
      <c r="D511" s="141">
        <v>0</v>
      </c>
      <c r="E511" s="141">
        <v>-0.2</v>
      </c>
    </row>
    <row r="512" spans="2:10" x14ac:dyDescent="0.3">
      <c r="B512" s="28" t="s">
        <v>179</v>
      </c>
      <c r="C512" s="19"/>
      <c r="D512" s="19">
        <f>D509*(1+D511)</f>
        <v>15000000</v>
      </c>
      <c r="E512" s="19">
        <f>E509*(1+E511)</f>
        <v>17777777.777777776</v>
      </c>
    </row>
    <row r="513" spans="2:10" x14ac:dyDescent="0.3">
      <c r="B513" s="2" t="s">
        <v>744</v>
      </c>
      <c r="C513" s="19" t="s">
        <v>739</v>
      </c>
      <c r="D513" s="19" t="s">
        <v>739</v>
      </c>
      <c r="E513" s="19" t="s">
        <v>740</v>
      </c>
    </row>
    <row r="514" spans="2:10" x14ac:dyDescent="0.3">
      <c r="B514" s="28" t="s">
        <v>146</v>
      </c>
      <c r="C514" s="141"/>
      <c r="D514" s="141">
        <v>0</v>
      </c>
      <c r="E514" s="141">
        <v>-0.2</v>
      </c>
      <c r="F514" s="111" t="s">
        <v>745</v>
      </c>
    </row>
    <row r="515" spans="2:10" x14ac:dyDescent="0.3">
      <c r="B515" s="28" t="s">
        <v>179</v>
      </c>
      <c r="C515" s="19"/>
      <c r="D515" s="19">
        <f>D512*(1+D514)</f>
        <v>15000000</v>
      </c>
      <c r="E515" s="19">
        <f>E512*(1+E514)</f>
        <v>14222222.222222222</v>
      </c>
    </row>
    <row r="516" spans="2:10" x14ac:dyDescent="0.3">
      <c r="B516" s="2" t="s">
        <v>180</v>
      </c>
      <c r="C516" s="19">
        <v>1</v>
      </c>
      <c r="D516" s="19">
        <v>1.2</v>
      </c>
      <c r="E516" s="19">
        <v>0.9</v>
      </c>
    </row>
    <row r="517" spans="2:10" x14ac:dyDescent="0.3">
      <c r="B517" s="28" t="s">
        <v>746</v>
      </c>
      <c r="C517" s="19"/>
      <c r="D517" s="141">
        <f>D516/C516-1</f>
        <v>0.19999999999999996</v>
      </c>
      <c r="E517" s="141">
        <f>E516/C516-1</f>
        <v>-9.9999999999999978E-2</v>
      </c>
      <c r="F517" s="111" t="s">
        <v>747</v>
      </c>
    </row>
    <row r="518" spans="2:10" x14ac:dyDescent="0.3">
      <c r="B518" s="28" t="s">
        <v>146</v>
      </c>
      <c r="C518" s="141"/>
      <c r="D518" s="141">
        <v>0.1</v>
      </c>
      <c r="E518" s="141">
        <v>0</v>
      </c>
    </row>
    <row r="519" spans="2:10" x14ac:dyDescent="0.3">
      <c r="B519" s="28" t="s">
        <v>179</v>
      </c>
      <c r="C519" s="19"/>
      <c r="D519" s="19">
        <f>D515*(1+D518)</f>
        <v>16500000.000000002</v>
      </c>
      <c r="E519" s="19">
        <f>E515*(1+E518)</f>
        <v>14222222.222222222</v>
      </c>
    </row>
    <row r="520" spans="2:10" x14ac:dyDescent="0.3">
      <c r="B520" s="2" t="s">
        <v>53</v>
      </c>
      <c r="C520" s="142">
        <f>ROUND(AVERAGE(D519:E519),-5)</f>
        <v>15400000</v>
      </c>
      <c r="D520" s="21"/>
      <c r="E520" s="21"/>
    </row>
    <row r="521" spans="2:10" x14ac:dyDescent="0.3">
      <c r="B521" s="143" t="s">
        <v>268</v>
      </c>
      <c r="C521" s="19"/>
      <c r="D521" s="21"/>
      <c r="E521" s="21"/>
    </row>
    <row r="522" spans="2:10" x14ac:dyDescent="0.3">
      <c r="B522" s="2" t="s">
        <v>53</v>
      </c>
      <c r="C522" s="142">
        <f>ROUND((D519+E519)/2,-5)</f>
        <v>15400000</v>
      </c>
      <c r="D522" s="21"/>
      <c r="E522" s="21"/>
    </row>
    <row r="525" spans="2:10" ht="19.5" thickBot="1" x14ac:dyDescent="0.35"/>
    <row r="526" spans="2:10" ht="40.5" customHeight="1" thickBot="1" x14ac:dyDescent="0.35">
      <c r="B526" s="161" t="s">
        <v>749</v>
      </c>
      <c r="C526" s="162"/>
      <c r="D526" s="162"/>
      <c r="E526" s="162"/>
      <c r="F526" s="162"/>
      <c r="G526" s="162"/>
      <c r="H526" s="162"/>
      <c r="I526" s="162"/>
      <c r="J526" s="163"/>
    </row>
    <row r="529" spans="2:10" x14ac:dyDescent="0.3">
      <c r="B529" s="2" t="s">
        <v>354</v>
      </c>
      <c r="C529" s="19" t="s">
        <v>153</v>
      </c>
      <c r="D529" s="19" t="s">
        <v>154</v>
      </c>
    </row>
    <row r="530" spans="2:10" x14ac:dyDescent="0.3">
      <c r="B530" s="2" t="s">
        <v>178</v>
      </c>
      <c r="C530" s="19"/>
      <c r="D530" s="19">
        <v>1100000</v>
      </c>
    </row>
    <row r="531" spans="2:10" x14ac:dyDescent="0.3">
      <c r="B531" s="2" t="s">
        <v>162</v>
      </c>
      <c r="C531" s="19"/>
      <c r="D531" s="141">
        <v>-0.1</v>
      </c>
    </row>
    <row r="532" spans="2:10" x14ac:dyDescent="0.3">
      <c r="B532" s="2" t="s">
        <v>179</v>
      </c>
      <c r="C532" s="19"/>
      <c r="D532" s="19">
        <f>D530*(1+D531)</f>
        <v>990000</v>
      </c>
    </row>
    <row r="533" spans="2:10" x14ac:dyDescent="0.3">
      <c r="B533" s="2" t="s">
        <v>301</v>
      </c>
      <c r="C533" s="141">
        <v>0.3</v>
      </c>
      <c r="D533" s="141">
        <v>0.6</v>
      </c>
    </row>
    <row r="534" spans="2:10" x14ac:dyDescent="0.3">
      <c r="B534" s="2" t="s">
        <v>751</v>
      </c>
      <c r="C534" s="19">
        <f>(1-C533)</f>
        <v>0.7</v>
      </c>
      <c r="D534" s="19">
        <f>(1-D533)</f>
        <v>0.4</v>
      </c>
    </row>
    <row r="535" spans="2:10" x14ac:dyDescent="0.3">
      <c r="B535" s="2" t="s">
        <v>750</v>
      </c>
      <c r="C535" s="19"/>
      <c r="D535" s="19">
        <f>C534/D534</f>
        <v>1.7499999999999998</v>
      </c>
      <c r="E535" s="111" t="s">
        <v>843</v>
      </c>
    </row>
    <row r="536" spans="2:10" x14ac:dyDescent="0.3">
      <c r="B536" s="2" t="s">
        <v>179</v>
      </c>
      <c r="C536" s="19"/>
      <c r="D536" s="142">
        <f>D532*D535</f>
        <v>1732499.9999999998</v>
      </c>
    </row>
    <row r="539" spans="2:10" ht="19.5" thickBot="1" x14ac:dyDescent="0.35"/>
    <row r="540" spans="2:10" ht="125.25" customHeight="1" thickBot="1" x14ac:dyDescent="0.35">
      <c r="B540" s="161" t="s">
        <v>842</v>
      </c>
      <c r="C540" s="162"/>
      <c r="D540" s="162"/>
      <c r="E540" s="162"/>
      <c r="F540" s="162"/>
      <c r="G540" s="162"/>
      <c r="H540" s="162"/>
      <c r="I540" s="162"/>
      <c r="J540" s="163"/>
    </row>
    <row r="542" spans="2:10" x14ac:dyDescent="0.3">
      <c r="B542" s="2" t="s">
        <v>197</v>
      </c>
      <c r="C542" s="19" t="s">
        <v>178</v>
      </c>
      <c r="D542" s="19" t="s">
        <v>737</v>
      </c>
      <c r="E542" s="19" t="s">
        <v>180</v>
      </c>
      <c r="F542" s="19" t="s">
        <v>738</v>
      </c>
      <c r="G542" s="165" t="s">
        <v>171</v>
      </c>
      <c r="H542" s="165"/>
      <c r="I542" s="165"/>
      <c r="J542" s="165"/>
    </row>
    <row r="543" spans="2:10" x14ac:dyDescent="0.3">
      <c r="B543" s="2" t="s">
        <v>454</v>
      </c>
      <c r="C543" s="19">
        <v>16000000</v>
      </c>
      <c r="D543" s="19" t="s">
        <v>161</v>
      </c>
      <c r="E543" s="19">
        <v>0.7</v>
      </c>
      <c r="F543" s="19" t="s">
        <v>739</v>
      </c>
      <c r="G543" s="164" t="s">
        <v>741</v>
      </c>
      <c r="H543" s="164"/>
      <c r="I543" s="164"/>
      <c r="J543" s="164"/>
    </row>
    <row r="544" spans="2:10" x14ac:dyDescent="0.3">
      <c r="B544" s="2" t="s">
        <v>163</v>
      </c>
      <c r="C544" s="19">
        <v>18000000</v>
      </c>
      <c r="D544" s="19" t="s">
        <v>161</v>
      </c>
      <c r="E544" s="19">
        <v>1.2</v>
      </c>
      <c r="F544" s="19" t="s">
        <v>739</v>
      </c>
      <c r="G544" s="164" t="s">
        <v>742</v>
      </c>
      <c r="H544" s="164"/>
      <c r="I544" s="164"/>
      <c r="J544" s="164"/>
    </row>
    <row r="545" spans="2:10" x14ac:dyDescent="0.3">
      <c r="B545" s="2" t="s">
        <v>165</v>
      </c>
      <c r="C545" s="19">
        <v>20000000</v>
      </c>
      <c r="D545" s="19" t="s">
        <v>160</v>
      </c>
      <c r="E545" s="19">
        <v>0.9</v>
      </c>
      <c r="F545" s="19" t="s">
        <v>740</v>
      </c>
      <c r="G545" s="164" t="s">
        <v>743</v>
      </c>
      <c r="H545" s="164"/>
      <c r="I545" s="164"/>
      <c r="J545" s="164"/>
    </row>
    <row r="547" spans="2:10" x14ac:dyDescent="0.3">
      <c r="B547" s="11" t="s">
        <v>748</v>
      </c>
    </row>
    <row r="548" spans="2:10" x14ac:dyDescent="0.3">
      <c r="B548" s="2" t="s">
        <v>354</v>
      </c>
      <c r="C548" s="19" t="s">
        <v>153</v>
      </c>
      <c r="D548" s="19" t="s">
        <v>212</v>
      </c>
      <c r="E548" s="19" t="s">
        <v>213</v>
      </c>
    </row>
    <row r="549" spans="2:10" x14ac:dyDescent="0.3">
      <c r="B549" s="2" t="s">
        <v>178</v>
      </c>
      <c r="C549" s="19"/>
      <c r="D549" s="19">
        <v>18000000</v>
      </c>
      <c r="E549" s="19">
        <v>20000000</v>
      </c>
    </row>
    <row r="550" spans="2:10" x14ac:dyDescent="0.3">
      <c r="B550" s="2" t="s">
        <v>180</v>
      </c>
      <c r="C550" s="19">
        <v>1</v>
      </c>
      <c r="D550" s="19">
        <v>1.2</v>
      </c>
      <c r="E550" s="19">
        <v>0.9</v>
      </c>
    </row>
    <row r="551" spans="2:10" x14ac:dyDescent="0.3">
      <c r="B551" s="2" t="s">
        <v>181</v>
      </c>
      <c r="C551" s="19"/>
      <c r="D551" s="19">
        <f>D549/D550</f>
        <v>15000000</v>
      </c>
      <c r="E551" s="19">
        <f>E549/E550</f>
        <v>22222222.22222222</v>
      </c>
    </row>
    <row r="552" spans="2:10" x14ac:dyDescent="0.3">
      <c r="B552" s="2" t="s">
        <v>737</v>
      </c>
      <c r="C552" s="19" t="s">
        <v>161</v>
      </c>
      <c r="D552" s="19" t="s">
        <v>161</v>
      </c>
      <c r="E552" s="19" t="s">
        <v>160</v>
      </c>
    </row>
    <row r="553" spans="2:10" x14ac:dyDescent="0.3">
      <c r="B553" s="28" t="s">
        <v>146</v>
      </c>
      <c r="C553" s="19"/>
      <c r="D553" s="141">
        <v>0</v>
      </c>
      <c r="E553" s="141">
        <v>-0.2</v>
      </c>
    </row>
    <row r="554" spans="2:10" x14ac:dyDescent="0.3">
      <c r="B554" s="28" t="s">
        <v>179</v>
      </c>
      <c r="C554" s="19"/>
      <c r="D554" s="19">
        <f>D551*(1+D553)</f>
        <v>15000000</v>
      </c>
      <c r="E554" s="19">
        <f>E551*(1+E553)</f>
        <v>17777777.777777776</v>
      </c>
    </row>
    <row r="555" spans="2:10" x14ac:dyDescent="0.3">
      <c r="B555" s="2" t="s">
        <v>744</v>
      </c>
      <c r="C555" s="19" t="s">
        <v>739</v>
      </c>
      <c r="D555" s="19" t="s">
        <v>739</v>
      </c>
      <c r="E555" s="19" t="s">
        <v>740</v>
      </c>
    </row>
    <row r="556" spans="2:10" x14ac:dyDescent="0.3">
      <c r="B556" s="2" t="s">
        <v>752</v>
      </c>
      <c r="C556" s="141">
        <v>0</v>
      </c>
      <c r="D556" s="141">
        <v>0</v>
      </c>
      <c r="E556" s="155">
        <v>0.2</v>
      </c>
      <c r="F556" s="111" t="s">
        <v>752</v>
      </c>
    </row>
    <row r="557" spans="2:10" x14ac:dyDescent="0.3">
      <c r="B557" s="2" t="s">
        <v>751</v>
      </c>
      <c r="C557" s="19">
        <f>1+C556</f>
        <v>1</v>
      </c>
      <c r="D557" s="19">
        <f>1+D556</f>
        <v>1</v>
      </c>
      <c r="E557" s="19">
        <f>1+E556</f>
        <v>1.2</v>
      </c>
    </row>
    <row r="558" spans="2:10" x14ac:dyDescent="0.3">
      <c r="B558" s="28" t="s">
        <v>146</v>
      </c>
      <c r="C558" s="141"/>
      <c r="D558" s="141">
        <f>C557/D557-1</f>
        <v>0</v>
      </c>
      <c r="E558" s="159">
        <f>C557/E557-1</f>
        <v>-0.16666666666666663</v>
      </c>
      <c r="F558" s="111"/>
    </row>
    <row r="559" spans="2:10" x14ac:dyDescent="0.3">
      <c r="B559" s="28" t="s">
        <v>179</v>
      </c>
      <c r="C559" s="19"/>
      <c r="D559" s="19">
        <f>D554*(1+D558)</f>
        <v>15000000</v>
      </c>
      <c r="E559" s="19">
        <f>E554*(1+E558)</f>
        <v>14814814.814814813</v>
      </c>
    </row>
    <row r="560" spans="2:10" x14ac:dyDescent="0.3">
      <c r="B560" s="2" t="s">
        <v>180</v>
      </c>
      <c r="C560" s="19">
        <v>1</v>
      </c>
      <c r="D560" s="19">
        <v>1.2</v>
      </c>
      <c r="E560" s="19">
        <v>0.9</v>
      </c>
    </row>
    <row r="561" spans="2:10" x14ac:dyDescent="0.3">
      <c r="B561" s="28" t="s">
        <v>746</v>
      </c>
      <c r="C561" s="19"/>
      <c r="D561" s="141">
        <f>D560/C560-1</f>
        <v>0.19999999999999996</v>
      </c>
      <c r="E561" s="141">
        <f>E560/C560-1</f>
        <v>-9.9999999999999978E-2</v>
      </c>
      <c r="F561" s="111" t="s">
        <v>747</v>
      </c>
    </row>
    <row r="562" spans="2:10" x14ac:dyDescent="0.3">
      <c r="B562" s="28" t="s">
        <v>146</v>
      </c>
      <c r="C562" s="141"/>
      <c r="D562" s="141">
        <v>0.1</v>
      </c>
      <c r="E562" s="141">
        <v>0</v>
      </c>
    </row>
    <row r="563" spans="2:10" x14ac:dyDescent="0.3">
      <c r="B563" s="28" t="s">
        <v>179</v>
      </c>
      <c r="C563" s="19"/>
      <c r="D563" s="19">
        <f>D559*(1+D562)</f>
        <v>16500000.000000002</v>
      </c>
      <c r="E563" s="19">
        <f>E559*(1+E562)</f>
        <v>14814814.814814813</v>
      </c>
    </row>
    <row r="564" spans="2:10" x14ac:dyDescent="0.3">
      <c r="B564" s="2" t="s">
        <v>53</v>
      </c>
      <c r="C564" s="142">
        <f>ROUND(AVERAGE(D563:E563),-5)</f>
        <v>15700000</v>
      </c>
      <c r="D564" s="21"/>
      <c r="E564" s="21"/>
    </row>
    <row r="565" spans="2:10" x14ac:dyDescent="0.3">
      <c r="B565" s="143" t="s">
        <v>268</v>
      </c>
      <c r="C565" s="19"/>
      <c r="D565" s="21"/>
      <c r="E565" s="21"/>
    </row>
    <row r="566" spans="2:10" x14ac:dyDescent="0.3">
      <c r="B566" s="2" t="s">
        <v>53</v>
      </c>
      <c r="C566" s="142">
        <f>ROUND((D563+E563)/2,-5)</f>
        <v>15700000</v>
      </c>
      <c r="D566" s="21"/>
      <c r="E566" s="21"/>
    </row>
    <row r="569" spans="2:10" ht="19.5" thickBot="1" x14ac:dyDescent="0.35"/>
    <row r="570" spans="2:10" ht="137.25" customHeight="1" thickBot="1" x14ac:dyDescent="0.35">
      <c r="B570" s="161" t="s">
        <v>753</v>
      </c>
      <c r="C570" s="162"/>
      <c r="D570" s="162"/>
      <c r="E570" s="162"/>
      <c r="F570" s="162"/>
      <c r="G570" s="162"/>
      <c r="H570" s="162"/>
      <c r="I570" s="162"/>
      <c r="J570" s="163"/>
    </row>
    <row r="573" spans="2:10" x14ac:dyDescent="0.3">
      <c r="B573" s="19" t="s">
        <v>354</v>
      </c>
      <c r="C573" s="19" t="s">
        <v>211</v>
      </c>
      <c r="D573" s="19" t="s">
        <v>212</v>
      </c>
      <c r="E573" s="19" t="s">
        <v>213</v>
      </c>
      <c r="F573" s="19" t="s">
        <v>754</v>
      </c>
    </row>
    <row r="574" spans="2:10" x14ac:dyDescent="0.3">
      <c r="B574" s="2" t="s">
        <v>756</v>
      </c>
      <c r="C574" s="19" t="s">
        <v>305</v>
      </c>
      <c r="D574" s="19" t="s">
        <v>305</v>
      </c>
      <c r="E574" s="144" t="s">
        <v>757</v>
      </c>
      <c r="F574" s="144" t="s">
        <v>758</v>
      </c>
      <c r="G574" s="111" t="s">
        <v>759</v>
      </c>
    </row>
    <row r="575" spans="2:10" x14ac:dyDescent="0.3">
      <c r="B575" s="2" t="s">
        <v>755</v>
      </c>
      <c r="C575" s="19">
        <v>2000000</v>
      </c>
      <c r="D575" s="19">
        <v>1800000</v>
      </c>
      <c r="E575" s="19">
        <v>2800000</v>
      </c>
      <c r="F575" s="19">
        <v>2400000</v>
      </c>
    </row>
    <row r="576" spans="2:10" x14ac:dyDescent="0.3">
      <c r="B576" s="2" t="s">
        <v>19</v>
      </c>
      <c r="C576" s="19">
        <v>500000</v>
      </c>
      <c r="D576" s="19">
        <v>450000</v>
      </c>
      <c r="E576" s="19">
        <v>650000</v>
      </c>
      <c r="F576" s="19">
        <v>450000</v>
      </c>
    </row>
    <row r="577" spans="2:10" x14ac:dyDescent="0.3">
      <c r="B577" s="2" t="s">
        <v>55</v>
      </c>
      <c r="C577" s="19">
        <v>300000</v>
      </c>
      <c r="D577" s="19">
        <v>280000</v>
      </c>
      <c r="E577" s="19">
        <v>600000</v>
      </c>
      <c r="F577" s="19">
        <v>250000</v>
      </c>
    </row>
    <row r="578" spans="2:10" x14ac:dyDescent="0.3">
      <c r="B578" s="2" t="s">
        <v>760</v>
      </c>
      <c r="C578" s="19">
        <f>C575/C576</f>
        <v>4</v>
      </c>
      <c r="D578" s="19">
        <f>D575/D576</f>
        <v>4</v>
      </c>
      <c r="E578" s="19"/>
      <c r="F578" s="19"/>
    </row>
    <row r="579" spans="2:10" x14ac:dyDescent="0.3">
      <c r="B579" s="2" t="s">
        <v>78</v>
      </c>
      <c r="C579" s="142">
        <f>AVERAGE(C578:D578)</f>
        <v>4</v>
      </c>
    </row>
    <row r="582" spans="2:10" ht="19.5" thickBot="1" x14ac:dyDescent="0.35"/>
    <row r="583" spans="2:10" ht="42" customHeight="1" thickBot="1" x14ac:dyDescent="0.35">
      <c r="B583" s="161" t="s">
        <v>841</v>
      </c>
      <c r="C583" s="162"/>
      <c r="D583" s="162"/>
      <c r="E583" s="162"/>
      <c r="F583" s="162"/>
      <c r="G583" s="162"/>
      <c r="H583" s="162"/>
      <c r="I583" s="162"/>
      <c r="J583" s="163"/>
    </row>
    <row r="585" spans="2:10" x14ac:dyDescent="0.3">
      <c r="B585" s="2" t="s">
        <v>836</v>
      </c>
      <c r="C585" s="2">
        <v>2000000</v>
      </c>
    </row>
    <row r="586" spans="2:10" x14ac:dyDescent="0.3">
      <c r="B586" s="2" t="s">
        <v>837</v>
      </c>
      <c r="C586" s="2">
        <v>2500000</v>
      </c>
    </row>
    <row r="587" spans="2:10" x14ac:dyDescent="0.3">
      <c r="B587" s="2" t="s">
        <v>727</v>
      </c>
      <c r="C587" s="2">
        <v>1.4</v>
      </c>
    </row>
    <row r="588" spans="2:10" x14ac:dyDescent="0.3">
      <c r="B588" s="143" t="s">
        <v>35</v>
      </c>
      <c r="C588" s="2"/>
    </row>
    <row r="589" spans="2:10" x14ac:dyDescent="0.3">
      <c r="B589" s="2" t="s">
        <v>726</v>
      </c>
      <c r="C589" s="2">
        <f>C586/C585</f>
        <v>1.25</v>
      </c>
    </row>
    <row r="590" spans="2:10" x14ac:dyDescent="0.3">
      <c r="B590" s="2" t="s">
        <v>728</v>
      </c>
      <c r="C590" s="2">
        <f>C587/C589</f>
        <v>1.1199999999999999</v>
      </c>
    </row>
    <row r="591" spans="2:10" x14ac:dyDescent="0.3">
      <c r="B591" s="2" t="s">
        <v>728</v>
      </c>
      <c r="C591" s="140">
        <f>C590-1</f>
        <v>0.11999999999999988</v>
      </c>
    </row>
  </sheetData>
  <mergeCells count="36">
    <mergeCell ref="B583:J583"/>
    <mergeCell ref="B260:J260"/>
    <mergeCell ref="B307:J307"/>
    <mergeCell ref="B404:J404"/>
    <mergeCell ref="B424:J424"/>
    <mergeCell ref="B318:J318"/>
    <mergeCell ref="B415:J415"/>
    <mergeCell ref="B468:J468"/>
    <mergeCell ref="B476:J476"/>
    <mergeCell ref="B447:J447"/>
    <mergeCell ref="B482:J482"/>
    <mergeCell ref="B498:J498"/>
    <mergeCell ref="G500:J500"/>
    <mergeCell ref="G501:J501"/>
    <mergeCell ref="G502:J502"/>
    <mergeCell ref="G544:J544"/>
    <mergeCell ref="B60:J60"/>
    <mergeCell ref="B2:J2"/>
    <mergeCell ref="B14:J14"/>
    <mergeCell ref="B29:J29"/>
    <mergeCell ref="B41:J41"/>
    <mergeCell ref="B49:J49"/>
    <mergeCell ref="B166:J166"/>
    <mergeCell ref="B188:J188"/>
    <mergeCell ref="B229:J229"/>
    <mergeCell ref="B295:J295"/>
    <mergeCell ref="B148:J148"/>
    <mergeCell ref="B178:J178"/>
    <mergeCell ref="B214:J214"/>
    <mergeCell ref="G545:J545"/>
    <mergeCell ref="B570:J570"/>
    <mergeCell ref="G503:J503"/>
    <mergeCell ref="B526:J526"/>
    <mergeCell ref="B540:J540"/>
    <mergeCell ref="G542:J542"/>
    <mergeCell ref="G543:J543"/>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4941-AE1C-4D31-8A5F-DA847CCFB49A}">
  <dimension ref="B1:J729"/>
  <sheetViews>
    <sheetView zoomScale="115" zoomScaleNormal="115" workbookViewId="0"/>
  </sheetViews>
  <sheetFormatPr defaultColWidth="9.140625" defaultRowHeight="18.75" x14ac:dyDescent="0.3"/>
  <cols>
    <col min="1" max="1" width="4" style="1" customWidth="1"/>
    <col min="2" max="2" width="45.140625" style="1" bestFit="1" customWidth="1"/>
    <col min="3" max="4" width="20.28515625" style="1" customWidth="1"/>
    <col min="5" max="7" width="18.7109375" style="1" customWidth="1"/>
    <col min="8" max="9" width="18.140625" style="1" customWidth="1"/>
    <col min="10" max="10" width="17.5703125" style="1" customWidth="1"/>
    <col min="11" max="16384" width="9.140625" style="1"/>
  </cols>
  <sheetData>
    <row r="1" spans="2:10" ht="19.5" thickBot="1" x14ac:dyDescent="0.35"/>
    <row r="2" spans="2:10" ht="48.75" customHeight="1" thickBot="1" x14ac:dyDescent="0.35">
      <c r="B2" s="161" t="s">
        <v>680</v>
      </c>
      <c r="C2" s="162"/>
      <c r="D2" s="162"/>
      <c r="E2" s="162"/>
      <c r="F2" s="162"/>
      <c r="G2" s="162"/>
      <c r="H2" s="162"/>
      <c r="I2" s="162"/>
      <c r="J2" s="163"/>
    </row>
    <row r="4" spans="2:10" x14ac:dyDescent="0.3">
      <c r="B4" s="2" t="s">
        <v>412</v>
      </c>
      <c r="C4" s="2">
        <v>410</v>
      </c>
    </row>
    <row r="5" spans="2:10" x14ac:dyDescent="0.3">
      <c r="B5" s="2" t="s">
        <v>18</v>
      </c>
      <c r="C5" s="2">
        <v>7000</v>
      </c>
    </row>
    <row r="6" spans="2:10" x14ac:dyDescent="0.3">
      <c r="B6" s="2" t="s">
        <v>19</v>
      </c>
      <c r="C6" s="82">
        <f>C4*C5</f>
        <v>2870000</v>
      </c>
      <c r="D6" s="90" t="s">
        <v>517</v>
      </c>
    </row>
    <row r="8" spans="2:10" ht="19.5" thickBot="1" x14ac:dyDescent="0.35"/>
    <row r="9" spans="2:10" ht="100.5" customHeight="1" thickBot="1" x14ac:dyDescent="0.35">
      <c r="B9" s="161" t="s">
        <v>100</v>
      </c>
      <c r="C9" s="162"/>
      <c r="D9" s="162"/>
      <c r="E9" s="162"/>
      <c r="F9" s="162"/>
      <c r="G9" s="162"/>
      <c r="H9" s="162"/>
      <c r="I9" s="162"/>
      <c r="J9" s="163"/>
    </row>
    <row r="11" spans="2:10" x14ac:dyDescent="0.3">
      <c r="B11" s="2" t="s">
        <v>20</v>
      </c>
      <c r="C11" s="12">
        <v>30</v>
      </c>
    </row>
    <row r="12" spans="2:10" x14ac:dyDescent="0.3">
      <c r="B12" s="2" t="s">
        <v>21</v>
      </c>
      <c r="C12" s="12">
        <v>60</v>
      </c>
    </row>
    <row r="13" spans="2:10" x14ac:dyDescent="0.3">
      <c r="B13" s="2" t="s">
        <v>22</v>
      </c>
      <c r="C13" s="12">
        <v>3</v>
      </c>
    </row>
    <row r="14" spans="2:10" x14ac:dyDescent="0.3">
      <c r="B14" s="2" t="s">
        <v>23</v>
      </c>
      <c r="C14" s="13">
        <v>0.06</v>
      </c>
    </row>
    <row r="15" spans="2:10" x14ac:dyDescent="0.3">
      <c r="B15" s="2" t="s">
        <v>24</v>
      </c>
      <c r="C15" s="13">
        <v>0.04</v>
      </c>
    </row>
    <row r="16" spans="2:10" x14ac:dyDescent="0.3">
      <c r="B16" s="2" t="s">
        <v>25</v>
      </c>
      <c r="C16" s="13">
        <v>0.03</v>
      </c>
    </row>
    <row r="17" spans="2:10" x14ac:dyDescent="0.3">
      <c r="B17" s="14" t="s">
        <v>26</v>
      </c>
      <c r="C17" s="2"/>
    </row>
    <row r="18" spans="2:10" x14ac:dyDescent="0.3">
      <c r="B18" s="2" t="s">
        <v>28</v>
      </c>
      <c r="C18" s="13">
        <f>C14*C13/12</f>
        <v>1.4999999999999999E-2</v>
      </c>
      <c r="D18" s="90" t="s">
        <v>455</v>
      </c>
    </row>
    <row r="19" spans="2:10" x14ac:dyDescent="0.3">
      <c r="B19" s="2" t="s">
        <v>16</v>
      </c>
      <c r="C19" s="13">
        <f>C14+C15+C16+C18</f>
        <v>0.14500000000000002</v>
      </c>
    </row>
    <row r="20" spans="2:10" x14ac:dyDescent="0.3">
      <c r="B20" s="2" t="s">
        <v>27</v>
      </c>
      <c r="C20" s="2">
        <f>C12-C11</f>
        <v>30</v>
      </c>
    </row>
    <row r="21" spans="2:10" x14ac:dyDescent="0.3">
      <c r="B21" s="2" t="s">
        <v>29</v>
      </c>
      <c r="C21" s="13">
        <f>PMT(C19,C20,,-1)</f>
        <v>2.5394731657926621E-3</v>
      </c>
      <c r="D21" s="90" t="s">
        <v>456</v>
      </c>
    </row>
    <row r="22" spans="2:10" x14ac:dyDescent="0.3">
      <c r="B22" s="2" t="s">
        <v>30</v>
      </c>
      <c r="C22" s="85">
        <f>C19+C21</f>
        <v>0.14753947316579269</v>
      </c>
    </row>
    <row r="24" spans="2:10" ht="19.5" thickBot="1" x14ac:dyDescent="0.35"/>
    <row r="25" spans="2:10" ht="192.75" customHeight="1" thickBot="1" x14ac:dyDescent="0.35">
      <c r="B25" s="161" t="s">
        <v>681</v>
      </c>
      <c r="C25" s="162"/>
      <c r="D25" s="162"/>
      <c r="E25" s="162"/>
      <c r="F25" s="162"/>
      <c r="G25" s="162"/>
      <c r="H25" s="162"/>
      <c r="I25" s="162"/>
      <c r="J25" s="163"/>
    </row>
    <row r="28" spans="2:10" x14ac:dyDescent="0.3">
      <c r="B28" s="2" t="s">
        <v>0</v>
      </c>
      <c r="C28" s="3">
        <v>1</v>
      </c>
      <c r="D28" s="3">
        <v>2</v>
      </c>
      <c r="E28" s="3">
        <v>3</v>
      </c>
      <c r="F28" s="4" t="s">
        <v>1</v>
      </c>
      <c r="G28" s="2"/>
    </row>
    <row r="29" spans="2:10" x14ac:dyDescent="0.3">
      <c r="B29" s="2" t="s">
        <v>2</v>
      </c>
      <c r="C29" s="2">
        <v>5000</v>
      </c>
      <c r="D29" s="2">
        <v>5000</v>
      </c>
      <c r="E29" s="2">
        <v>5000</v>
      </c>
      <c r="F29" s="2">
        <v>5000</v>
      </c>
      <c r="G29" s="2"/>
    </row>
    <row r="30" spans="2:10" x14ac:dyDescent="0.3">
      <c r="B30" s="2" t="s">
        <v>3</v>
      </c>
      <c r="C30" s="2">
        <v>4000</v>
      </c>
      <c r="D30" s="2">
        <v>4000</v>
      </c>
      <c r="E30" s="2">
        <v>4000</v>
      </c>
      <c r="F30" s="2">
        <v>4000</v>
      </c>
      <c r="G30" s="2"/>
    </row>
    <row r="31" spans="2:10" x14ac:dyDescent="0.3">
      <c r="B31" s="2" t="s">
        <v>457</v>
      </c>
      <c r="C31" s="5">
        <v>0.7</v>
      </c>
      <c r="D31" s="5">
        <v>0.5</v>
      </c>
      <c r="E31" s="5">
        <v>1</v>
      </c>
      <c r="F31" s="5">
        <v>1</v>
      </c>
      <c r="G31" s="2"/>
    </row>
    <row r="32" spans="2:10" x14ac:dyDescent="0.3">
      <c r="B32" s="2" t="s">
        <v>5</v>
      </c>
      <c r="C32" s="2">
        <f>C30*C31</f>
        <v>2800</v>
      </c>
      <c r="D32" s="2">
        <f t="shared" ref="D32:F32" si="0">D30*D31</f>
        <v>2000</v>
      </c>
      <c r="E32" s="2">
        <f t="shared" si="0"/>
        <v>4000</v>
      </c>
      <c r="F32" s="2">
        <f t="shared" si="0"/>
        <v>4000</v>
      </c>
      <c r="G32" s="2"/>
    </row>
    <row r="33" spans="2:10" x14ac:dyDescent="0.3">
      <c r="B33" s="2" t="s">
        <v>13</v>
      </c>
      <c r="C33" s="2">
        <v>25000</v>
      </c>
      <c r="D33" s="2">
        <v>25000</v>
      </c>
      <c r="E33" s="2">
        <v>10000</v>
      </c>
      <c r="F33" s="2">
        <v>30000</v>
      </c>
      <c r="G33" s="2"/>
    </row>
    <row r="34" spans="2:10" x14ac:dyDescent="0.3">
      <c r="B34" s="2" t="s">
        <v>7</v>
      </c>
      <c r="C34" s="7">
        <f>C32*C33</f>
        <v>70000000</v>
      </c>
      <c r="D34" s="7">
        <f t="shared" ref="D34:F34" si="1">D32*D33</f>
        <v>50000000</v>
      </c>
      <c r="E34" s="7">
        <f t="shared" si="1"/>
        <v>40000000</v>
      </c>
      <c r="F34" s="7">
        <f t="shared" si="1"/>
        <v>120000000</v>
      </c>
      <c r="G34" s="2"/>
    </row>
    <row r="35" spans="2:10" x14ac:dyDescent="0.3">
      <c r="B35" s="2" t="s">
        <v>12</v>
      </c>
      <c r="C35" s="2">
        <v>2000</v>
      </c>
      <c r="D35" s="2">
        <v>2000</v>
      </c>
      <c r="E35" s="2">
        <v>2000</v>
      </c>
      <c r="F35" s="2">
        <v>2000</v>
      </c>
      <c r="G35" s="2"/>
    </row>
    <row r="36" spans="2:10" x14ac:dyDescent="0.3">
      <c r="B36" s="2" t="s">
        <v>6</v>
      </c>
      <c r="C36" s="7">
        <f>C32*C35</f>
        <v>5600000</v>
      </c>
      <c r="D36" s="7">
        <f t="shared" ref="D36:F36" si="2">D32*D35</f>
        <v>4000000</v>
      </c>
      <c r="E36" s="7">
        <f t="shared" si="2"/>
        <v>8000000</v>
      </c>
      <c r="F36" s="7">
        <f t="shared" si="2"/>
        <v>8000000</v>
      </c>
      <c r="G36" s="2"/>
    </row>
    <row r="37" spans="2:10" x14ac:dyDescent="0.3">
      <c r="B37" s="2" t="s">
        <v>8</v>
      </c>
      <c r="C37" s="7">
        <f>C34+C36</f>
        <v>75600000</v>
      </c>
      <c r="D37" s="7">
        <f t="shared" ref="D37:F37" si="3">D34+D36</f>
        <v>54000000</v>
      </c>
      <c r="E37" s="7">
        <f t="shared" si="3"/>
        <v>48000000</v>
      </c>
      <c r="F37" s="7">
        <f t="shared" si="3"/>
        <v>128000000</v>
      </c>
      <c r="G37" s="2"/>
    </row>
    <row r="38" spans="2:10" x14ac:dyDescent="0.3">
      <c r="B38" s="2" t="s">
        <v>11</v>
      </c>
      <c r="C38" s="2">
        <v>8000</v>
      </c>
      <c r="D38" s="2">
        <v>8000</v>
      </c>
      <c r="E38" s="2">
        <v>8000</v>
      </c>
      <c r="F38" s="2">
        <v>8000</v>
      </c>
      <c r="G38" s="2"/>
    </row>
    <row r="39" spans="2:10" x14ac:dyDescent="0.3">
      <c r="B39" s="2" t="s">
        <v>9</v>
      </c>
      <c r="C39" s="8">
        <f>C38*C29</f>
        <v>40000000</v>
      </c>
      <c r="D39" s="8">
        <f t="shared" ref="D39:F39" si="4">D38*D29</f>
        <v>40000000</v>
      </c>
      <c r="E39" s="8">
        <f t="shared" si="4"/>
        <v>40000000</v>
      </c>
      <c r="F39" s="8">
        <f t="shared" si="4"/>
        <v>40000000</v>
      </c>
      <c r="G39" s="2"/>
    </row>
    <row r="40" spans="2:10" x14ac:dyDescent="0.3">
      <c r="B40" s="2" t="s">
        <v>10</v>
      </c>
      <c r="C40" s="2">
        <f>C37-C39</f>
        <v>35600000</v>
      </c>
      <c r="D40" s="2">
        <f t="shared" ref="D40:F40" si="5">D37-D39</f>
        <v>14000000</v>
      </c>
      <c r="E40" s="2">
        <f t="shared" si="5"/>
        <v>8000000</v>
      </c>
      <c r="F40" s="6">
        <f t="shared" si="5"/>
        <v>88000000</v>
      </c>
      <c r="G40" s="2"/>
    </row>
    <row r="41" spans="2:10" x14ac:dyDescent="0.3">
      <c r="B41" s="2" t="s">
        <v>14</v>
      </c>
      <c r="C41" s="2"/>
      <c r="D41" s="2"/>
      <c r="E41" s="2"/>
      <c r="F41" s="5">
        <v>0.12</v>
      </c>
      <c r="G41" s="2"/>
    </row>
    <row r="42" spans="2:10" x14ac:dyDescent="0.3">
      <c r="B42" s="2" t="s">
        <v>15</v>
      </c>
      <c r="C42" s="2"/>
      <c r="D42" s="2"/>
      <c r="E42" s="2"/>
      <c r="F42" s="2">
        <f>F40/F41</f>
        <v>733333333.33333337</v>
      </c>
      <c r="G42" s="2"/>
    </row>
    <row r="43" spans="2:10" x14ac:dyDescent="0.3">
      <c r="B43" s="2" t="s">
        <v>16</v>
      </c>
      <c r="C43" s="5">
        <v>0.14000000000000001</v>
      </c>
      <c r="D43" s="5">
        <v>0.14000000000000001</v>
      </c>
      <c r="E43" s="5">
        <v>0.14000000000000001</v>
      </c>
      <c r="F43" s="5">
        <v>0.14000000000000001</v>
      </c>
      <c r="G43" s="2"/>
    </row>
    <row r="44" spans="2:10" x14ac:dyDescent="0.3">
      <c r="B44" s="2" t="s">
        <v>17</v>
      </c>
      <c r="C44" s="2">
        <f>C40/(1+C43)^C28</f>
        <v>31228070.175438594</v>
      </c>
      <c r="D44" s="2">
        <f>D40/(1+D43)^D28</f>
        <v>10772545.398584178</v>
      </c>
      <c r="E44" s="2">
        <f>E40/(1+E43)^E28</f>
        <v>5399772.1296161283</v>
      </c>
      <c r="F44" s="9">
        <f>F42/(1+F43)^E28</f>
        <v>494979111.88147849</v>
      </c>
      <c r="G44" s="82">
        <f>ROUND(C44+D44+E44+F44,-6)</f>
        <v>542000000</v>
      </c>
    </row>
    <row r="46" spans="2:10" ht="19.5" thickBot="1" x14ac:dyDescent="0.35"/>
    <row r="47" spans="2:10" ht="77.25" customHeight="1" thickBot="1" x14ac:dyDescent="0.35">
      <c r="B47" s="161" t="s">
        <v>101</v>
      </c>
      <c r="C47" s="162"/>
      <c r="D47" s="162"/>
      <c r="E47" s="162"/>
      <c r="F47" s="162"/>
      <c r="G47" s="162"/>
      <c r="H47" s="162"/>
      <c r="I47" s="162"/>
      <c r="J47" s="163"/>
    </row>
    <row r="50" spans="2:3" x14ac:dyDescent="0.3">
      <c r="B50" s="2" t="s">
        <v>31</v>
      </c>
      <c r="C50" s="2">
        <v>300000</v>
      </c>
    </row>
    <row r="51" spans="2:3" x14ac:dyDescent="0.3">
      <c r="B51" s="2" t="s">
        <v>32</v>
      </c>
      <c r="C51" s="2">
        <v>600000</v>
      </c>
    </row>
    <row r="52" spans="2:3" x14ac:dyDescent="0.3">
      <c r="B52" s="2" t="s">
        <v>33</v>
      </c>
      <c r="C52" s="5">
        <v>0.1</v>
      </c>
    </row>
    <row r="53" spans="2:3" x14ac:dyDescent="0.3">
      <c r="B53" s="2" t="s">
        <v>34</v>
      </c>
      <c r="C53" s="5">
        <v>0.15</v>
      </c>
    </row>
    <row r="54" spans="2:3" x14ac:dyDescent="0.3">
      <c r="B54" s="14" t="s">
        <v>35</v>
      </c>
      <c r="C54" s="2"/>
    </row>
    <row r="55" spans="2:3" x14ac:dyDescent="0.3">
      <c r="B55" s="2" t="s">
        <v>36</v>
      </c>
      <c r="C55" s="2">
        <f>C51*C53</f>
        <v>90000</v>
      </c>
    </row>
    <row r="56" spans="2:3" x14ac:dyDescent="0.3">
      <c r="B56" s="2" t="s">
        <v>37</v>
      </c>
      <c r="C56" s="82">
        <f>C50-C55</f>
        <v>210000</v>
      </c>
    </row>
    <row r="67" spans="2:10" ht="19.5" thickBot="1" x14ac:dyDescent="0.35"/>
    <row r="68" spans="2:10" ht="96" customHeight="1" thickBot="1" x14ac:dyDescent="0.35">
      <c r="B68" s="161" t="s">
        <v>102</v>
      </c>
      <c r="C68" s="162"/>
      <c r="D68" s="162"/>
      <c r="E68" s="162"/>
      <c r="F68" s="162"/>
      <c r="G68" s="162"/>
      <c r="H68" s="162"/>
      <c r="I68" s="162"/>
      <c r="J68" s="163"/>
    </row>
    <row r="71" spans="2:10" x14ac:dyDescent="0.3">
      <c r="B71" s="90" t="s">
        <v>41</v>
      </c>
    </row>
    <row r="73" spans="2:10" x14ac:dyDescent="0.3">
      <c r="B73" s="2" t="s">
        <v>38</v>
      </c>
      <c r="C73" s="2">
        <v>2000000</v>
      </c>
    </row>
    <row r="74" spans="2:10" x14ac:dyDescent="0.3">
      <c r="B74" s="2" t="s">
        <v>39</v>
      </c>
      <c r="C74" s="2">
        <v>500000</v>
      </c>
    </row>
    <row r="75" spans="2:10" x14ac:dyDescent="0.3">
      <c r="B75" s="2" t="s">
        <v>42</v>
      </c>
      <c r="C75" s="5">
        <v>0.2</v>
      </c>
    </row>
    <row r="76" spans="2:10" x14ac:dyDescent="0.3">
      <c r="B76" s="2" t="s">
        <v>44</v>
      </c>
      <c r="C76" s="5">
        <v>0.25</v>
      </c>
    </row>
    <row r="77" spans="2:10" x14ac:dyDescent="0.3">
      <c r="B77" s="14" t="s">
        <v>35</v>
      </c>
      <c r="C77" s="2"/>
    </row>
    <row r="78" spans="2:10" x14ac:dyDescent="0.3">
      <c r="B78" s="2" t="s">
        <v>40</v>
      </c>
      <c r="C78" s="2">
        <f>C74*C75</f>
        <v>100000</v>
      </c>
    </row>
    <row r="79" spans="2:10" x14ac:dyDescent="0.3">
      <c r="B79" s="2" t="s">
        <v>43</v>
      </c>
      <c r="C79" s="2">
        <f>C73*C76</f>
        <v>500000</v>
      </c>
    </row>
    <row r="80" spans="2:10" x14ac:dyDescent="0.3">
      <c r="B80" s="2" t="s">
        <v>45</v>
      </c>
      <c r="C80" s="82">
        <f>C73-C74-C78-C79</f>
        <v>900000</v>
      </c>
    </row>
    <row r="82" spans="2:10" ht="19.5" thickBot="1" x14ac:dyDescent="0.35"/>
    <row r="83" spans="2:10" ht="147" customHeight="1" thickBot="1" x14ac:dyDescent="0.35">
      <c r="B83" s="161" t="s">
        <v>682</v>
      </c>
      <c r="C83" s="162"/>
      <c r="D83" s="162"/>
      <c r="E83" s="162"/>
      <c r="F83" s="162"/>
      <c r="G83" s="162"/>
      <c r="H83" s="162"/>
      <c r="I83" s="162"/>
      <c r="J83" s="163"/>
    </row>
    <row r="86" spans="2:10" x14ac:dyDescent="0.3">
      <c r="B86" s="2" t="s">
        <v>0</v>
      </c>
      <c r="C86" s="16">
        <v>1</v>
      </c>
      <c r="D86" s="16">
        <v>2</v>
      </c>
      <c r="E86" s="16">
        <v>3</v>
      </c>
      <c r="F86" s="17" t="s">
        <v>1</v>
      </c>
    </row>
    <row r="87" spans="2:10" x14ac:dyDescent="0.3">
      <c r="B87" s="2" t="s">
        <v>46</v>
      </c>
      <c r="C87" s="2">
        <v>-200000000</v>
      </c>
      <c r="D87" s="2">
        <v>-200000000</v>
      </c>
      <c r="E87" s="2"/>
      <c r="F87" s="2"/>
    </row>
    <row r="88" spans="2:10" x14ac:dyDescent="0.3">
      <c r="B88" s="2" t="s">
        <v>3</v>
      </c>
      <c r="C88" s="2"/>
      <c r="D88" s="2"/>
      <c r="E88" s="2">
        <v>4500</v>
      </c>
      <c r="F88" s="2">
        <v>4500</v>
      </c>
    </row>
    <row r="89" spans="2:10" x14ac:dyDescent="0.3">
      <c r="B89" s="2" t="s">
        <v>47</v>
      </c>
      <c r="C89" s="2"/>
      <c r="D89" s="2"/>
      <c r="E89" s="2">
        <v>20000</v>
      </c>
      <c r="F89" s="2">
        <v>20000</v>
      </c>
    </row>
    <row r="90" spans="2:10" x14ac:dyDescent="0.3">
      <c r="B90" s="2" t="s">
        <v>48</v>
      </c>
      <c r="C90" s="2"/>
      <c r="D90" s="2"/>
      <c r="E90" s="5">
        <v>0.7</v>
      </c>
      <c r="F90" s="5">
        <v>0.85</v>
      </c>
    </row>
    <row r="91" spans="2:10" x14ac:dyDescent="0.3">
      <c r="B91" s="2" t="s">
        <v>49</v>
      </c>
      <c r="C91" s="2"/>
      <c r="D91" s="2"/>
      <c r="E91" s="2">
        <f>E88*E89*E90</f>
        <v>62999999.999999993</v>
      </c>
      <c r="F91" s="2">
        <f>F88*F89*F90</f>
        <v>76500000</v>
      </c>
    </row>
    <row r="92" spans="2:10" x14ac:dyDescent="0.3">
      <c r="B92" s="2" t="s">
        <v>14</v>
      </c>
      <c r="C92" s="2"/>
      <c r="D92" s="2"/>
      <c r="E92" s="2"/>
      <c r="F92" s="5">
        <v>0.1</v>
      </c>
    </row>
    <row r="93" spans="2:10" x14ac:dyDescent="0.3">
      <c r="B93" s="2" t="s">
        <v>15</v>
      </c>
      <c r="C93" s="2"/>
      <c r="D93" s="2"/>
      <c r="E93" s="2"/>
      <c r="F93" s="2">
        <f>F91/F92</f>
        <v>765000000</v>
      </c>
    </row>
    <row r="94" spans="2:10" x14ac:dyDescent="0.3">
      <c r="B94" s="2" t="s">
        <v>50</v>
      </c>
      <c r="C94" s="2">
        <f>C87</f>
        <v>-200000000</v>
      </c>
      <c r="D94" s="2">
        <f>D87</f>
        <v>-200000000</v>
      </c>
      <c r="E94" s="2">
        <f>E91</f>
        <v>62999999.999999993</v>
      </c>
      <c r="F94" s="2">
        <f>F93</f>
        <v>765000000</v>
      </c>
    </row>
    <row r="95" spans="2:10" x14ac:dyDescent="0.3">
      <c r="B95" s="2" t="s">
        <v>16</v>
      </c>
      <c r="C95" s="5">
        <v>0.21</v>
      </c>
      <c r="D95" s="5">
        <v>0.21</v>
      </c>
      <c r="E95" s="5">
        <v>0.16</v>
      </c>
      <c r="F95" s="2"/>
    </row>
    <row r="96" spans="2:10" x14ac:dyDescent="0.3">
      <c r="B96" s="2" t="s">
        <v>54</v>
      </c>
      <c r="C96" s="114">
        <f>1/(1+C95)</f>
        <v>0.82644628099173556</v>
      </c>
      <c r="D96" s="114">
        <f>1/(1+D95)</f>
        <v>0.82644628099173556</v>
      </c>
      <c r="E96" s="114">
        <f>1/(1+E95)</f>
        <v>0.86206896551724144</v>
      </c>
      <c r="F96" s="114"/>
    </row>
    <row r="97" spans="2:10" x14ac:dyDescent="0.3">
      <c r="B97" s="2" t="s">
        <v>51</v>
      </c>
      <c r="C97" s="114">
        <f>C96</f>
        <v>0.82644628099173556</v>
      </c>
      <c r="D97" s="114">
        <f>C96*D96</f>
        <v>0.68301345536507074</v>
      </c>
      <c r="E97" s="114">
        <f>C96*D96*E96</f>
        <v>0.58880470290092313</v>
      </c>
      <c r="F97" s="114">
        <f>E97</f>
        <v>0.58880470290092313</v>
      </c>
    </row>
    <row r="98" spans="2:10" x14ac:dyDescent="0.3">
      <c r="B98" s="2" t="s">
        <v>52</v>
      </c>
      <c r="C98" s="2">
        <f>C94*C97</f>
        <v>-165289256.19834712</v>
      </c>
      <c r="D98" s="2">
        <f>D94*D97</f>
        <v>-136602691.07301414</v>
      </c>
      <c r="E98" s="2">
        <f>E94*E97</f>
        <v>37094696.282758154</v>
      </c>
      <c r="F98" s="2">
        <f>F94*F97</f>
        <v>450435597.71920621</v>
      </c>
    </row>
    <row r="99" spans="2:10" x14ac:dyDescent="0.3">
      <c r="B99" s="2" t="s">
        <v>53</v>
      </c>
      <c r="C99" s="82">
        <f>C98+D98+E98+F98</f>
        <v>185638346.73060313</v>
      </c>
      <c r="D99" s="2"/>
      <c r="E99" s="2"/>
      <c r="F99" s="2"/>
    </row>
    <row r="101" spans="2:10" ht="19.5" thickBot="1" x14ac:dyDescent="0.35"/>
    <row r="102" spans="2:10" ht="39.75" customHeight="1" thickBot="1" x14ac:dyDescent="0.35">
      <c r="B102" s="161" t="s">
        <v>103</v>
      </c>
      <c r="C102" s="162"/>
      <c r="D102" s="162"/>
      <c r="E102" s="162"/>
      <c r="F102" s="162"/>
      <c r="G102" s="162"/>
      <c r="H102" s="162"/>
      <c r="I102" s="162"/>
      <c r="J102" s="163"/>
    </row>
    <row r="105" spans="2:10" x14ac:dyDescent="0.3">
      <c r="B105" s="2" t="s">
        <v>55</v>
      </c>
      <c r="C105" s="2">
        <v>150000</v>
      </c>
    </row>
    <row r="106" spans="2:10" x14ac:dyDescent="0.3">
      <c r="B106" s="2" t="s">
        <v>38</v>
      </c>
      <c r="C106" s="2">
        <v>1000000</v>
      </c>
    </row>
    <row r="107" spans="2:10" x14ac:dyDescent="0.3">
      <c r="B107" s="2" t="s">
        <v>30</v>
      </c>
      <c r="C107" s="117">
        <f>C105/C106</f>
        <v>0.15</v>
      </c>
    </row>
    <row r="109" spans="2:10" x14ac:dyDescent="0.3">
      <c r="B109" s="90" t="s">
        <v>518</v>
      </c>
    </row>
    <row r="111" spans="2:10" ht="19.5" thickBot="1" x14ac:dyDescent="0.35"/>
    <row r="112" spans="2:10" ht="59.25" customHeight="1" thickBot="1" x14ac:dyDescent="0.35">
      <c r="B112" s="161" t="s">
        <v>104</v>
      </c>
      <c r="C112" s="162"/>
      <c r="D112" s="162"/>
      <c r="E112" s="162"/>
      <c r="F112" s="162"/>
      <c r="G112" s="162"/>
      <c r="H112" s="162"/>
      <c r="I112" s="162"/>
      <c r="J112" s="163"/>
    </row>
    <row r="115" spans="2:9" x14ac:dyDescent="0.3">
      <c r="B115" s="2" t="s">
        <v>533</v>
      </c>
      <c r="C115" s="2">
        <v>220000</v>
      </c>
    </row>
    <row r="116" spans="2:9" x14ac:dyDescent="0.3">
      <c r="B116" s="2" t="s">
        <v>56</v>
      </c>
      <c r="C116" s="2">
        <v>100000</v>
      </c>
    </row>
    <row r="117" spans="2:9" x14ac:dyDescent="0.3">
      <c r="B117" s="2" t="s">
        <v>55</v>
      </c>
      <c r="C117" s="2">
        <v>35000</v>
      </c>
    </row>
    <row r="118" spans="2:9" x14ac:dyDescent="0.3">
      <c r="B118" s="2" t="s">
        <v>458</v>
      </c>
      <c r="C118" s="5">
        <v>0.15</v>
      </c>
      <c r="E118" s="90"/>
    </row>
    <row r="119" spans="2:9" x14ac:dyDescent="0.3">
      <c r="B119" s="2" t="s">
        <v>57</v>
      </c>
      <c r="C119" s="12">
        <v>10</v>
      </c>
    </row>
    <row r="120" spans="2:9" x14ac:dyDescent="0.3">
      <c r="B120" s="2" t="s">
        <v>58</v>
      </c>
      <c r="C120" s="5">
        <v>0.12</v>
      </c>
    </row>
    <row r="121" spans="2:9" x14ac:dyDescent="0.3">
      <c r="B121" s="2" t="s">
        <v>59</v>
      </c>
      <c r="C121" s="15">
        <f>PMT(C120,C119,C116)</f>
        <v>-17698.416415984408</v>
      </c>
    </row>
    <row r="124" spans="2:9" x14ac:dyDescent="0.3">
      <c r="B124" s="2" t="s">
        <v>0</v>
      </c>
      <c r="C124" s="3">
        <v>1</v>
      </c>
      <c r="D124" s="3">
        <v>2</v>
      </c>
      <c r="E124" s="3">
        <v>3</v>
      </c>
      <c r="F124" s="3">
        <v>4</v>
      </c>
      <c r="G124" s="3">
        <v>5</v>
      </c>
      <c r="H124" s="3">
        <v>6</v>
      </c>
      <c r="I124" s="19" t="s">
        <v>60</v>
      </c>
    </row>
    <row r="125" spans="2:9" x14ac:dyDescent="0.3">
      <c r="B125" s="2" t="s">
        <v>61</v>
      </c>
      <c r="C125" s="2">
        <v>35000</v>
      </c>
      <c r="D125" s="2">
        <v>35000</v>
      </c>
      <c r="E125" s="2">
        <v>35000</v>
      </c>
      <c r="F125" s="2">
        <v>35000</v>
      </c>
      <c r="G125" s="2">
        <v>35000</v>
      </c>
      <c r="H125" s="2">
        <v>35000</v>
      </c>
      <c r="I125" s="2">
        <v>220000</v>
      </c>
    </row>
    <row r="126" spans="2:9" x14ac:dyDescent="0.3">
      <c r="B126" s="2" t="s">
        <v>62</v>
      </c>
      <c r="C126" s="2">
        <f>C121</f>
        <v>-17698.416415984408</v>
      </c>
      <c r="D126" s="2">
        <f>C121</f>
        <v>-17698.416415984408</v>
      </c>
      <c r="E126" s="2">
        <f>C121</f>
        <v>-17698.416415984408</v>
      </c>
      <c r="F126" s="2">
        <f>C121</f>
        <v>-17698.416415984408</v>
      </c>
      <c r="G126" s="2">
        <f>C121</f>
        <v>-17698.416415984408</v>
      </c>
      <c r="H126" s="2">
        <f>C121</f>
        <v>-17698.416415984408</v>
      </c>
      <c r="I126" s="2">
        <f>PV(C120,4,-C121)</f>
        <v>-53756.273537412315</v>
      </c>
    </row>
    <row r="127" spans="2:9" x14ac:dyDescent="0.3">
      <c r="B127" s="2" t="s">
        <v>63</v>
      </c>
      <c r="C127" s="2">
        <f t="shared" ref="C127:I127" si="6">C125+C126</f>
        <v>17301.583584015592</v>
      </c>
      <c r="D127" s="2">
        <f t="shared" si="6"/>
        <v>17301.583584015592</v>
      </c>
      <c r="E127" s="2">
        <f t="shared" si="6"/>
        <v>17301.583584015592</v>
      </c>
      <c r="F127" s="2">
        <f t="shared" si="6"/>
        <v>17301.583584015592</v>
      </c>
      <c r="G127" s="2">
        <f t="shared" si="6"/>
        <v>17301.583584015592</v>
      </c>
      <c r="H127" s="2">
        <f t="shared" si="6"/>
        <v>17301.583584015592</v>
      </c>
      <c r="I127" s="2">
        <f t="shared" si="6"/>
        <v>166243.72646258769</v>
      </c>
    </row>
    <row r="128" spans="2:9" x14ac:dyDescent="0.3">
      <c r="B128" s="2" t="s">
        <v>532</v>
      </c>
      <c r="C128" s="5">
        <v>0.15</v>
      </c>
      <c r="D128" s="5">
        <v>0.15</v>
      </c>
      <c r="E128" s="5">
        <v>0.15</v>
      </c>
      <c r="F128" s="5">
        <v>0.15</v>
      </c>
      <c r="G128" s="5">
        <v>0.15</v>
      </c>
      <c r="H128" s="5">
        <v>0.15</v>
      </c>
      <c r="I128" s="2"/>
    </row>
    <row r="129" spans="2:10" x14ac:dyDescent="0.3">
      <c r="B129" s="2"/>
      <c r="C129" s="18">
        <f>1/(1+C128)^C124</f>
        <v>0.86956521739130443</v>
      </c>
      <c r="D129" s="18">
        <f t="shared" ref="D129:H129" si="7">1/(1+D128)^D124</f>
        <v>0.7561436672967865</v>
      </c>
      <c r="E129" s="18">
        <f t="shared" si="7"/>
        <v>0.65751623243198831</v>
      </c>
      <c r="F129" s="18">
        <f t="shared" si="7"/>
        <v>0.57175324559303342</v>
      </c>
      <c r="G129" s="18">
        <f t="shared" si="7"/>
        <v>0.49717673529828987</v>
      </c>
      <c r="H129" s="18">
        <f t="shared" si="7"/>
        <v>0.43232759591155645</v>
      </c>
      <c r="I129" s="18">
        <f>H129</f>
        <v>0.43232759591155645</v>
      </c>
    </row>
    <row r="130" spans="2:10" x14ac:dyDescent="0.3">
      <c r="B130" s="2"/>
      <c r="C130" s="2">
        <f>C127*C129</f>
        <v>15044.855290448342</v>
      </c>
      <c r="D130" s="2">
        <f t="shared" ref="D130:I130" si="8">D127*D129</f>
        <v>13082.482861259428</v>
      </c>
      <c r="E130" s="2">
        <f t="shared" si="8"/>
        <v>11376.07205326907</v>
      </c>
      <c r="F130" s="2">
        <f t="shared" si="8"/>
        <v>9892.2365680600615</v>
      </c>
      <c r="G130" s="2">
        <f t="shared" si="8"/>
        <v>8601.9448417913572</v>
      </c>
      <c r="H130" s="2">
        <f t="shared" si="8"/>
        <v>7479.9520363403117</v>
      </c>
      <c r="I130" s="2">
        <f t="shared" si="8"/>
        <v>71871.750596948928</v>
      </c>
    </row>
    <row r="131" spans="2:10" x14ac:dyDescent="0.3">
      <c r="B131" s="2" t="s">
        <v>64</v>
      </c>
      <c r="C131" s="2">
        <f>SUM(C130:I130)</f>
        <v>137349.29424811751</v>
      </c>
      <c r="D131" s="2"/>
      <c r="E131" s="2"/>
      <c r="F131" s="2"/>
      <c r="G131" s="2"/>
      <c r="H131" s="2"/>
      <c r="I131" s="2"/>
    </row>
    <row r="132" spans="2:10" x14ac:dyDescent="0.3">
      <c r="B132" s="2" t="s">
        <v>65</v>
      </c>
      <c r="C132" s="82">
        <f>C131+C116</f>
        <v>237349.29424811751</v>
      </c>
      <c r="D132" s="2"/>
      <c r="E132" s="2"/>
      <c r="F132" s="2"/>
      <c r="G132" s="2"/>
      <c r="H132" s="2"/>
      <c r="I132" s="2"/>
    </row>
    <row r="134" spans="2:10" x14ac:dyDescent="0.3">
      <c r="B134" s="11" t="s">
        <v>66</v>
      </c>
    </row>
    <row r="135" spans="2:10" x14ac:dyDescent="0.3">
      <c r="B135" s="2" t="s">
        <v>67</v>
      </c>
      <c r="C135" s="15">
        <f>PV(15%,6,-C127)</f>
        <v>65477.54365116854</v>
      </c>
    </row>
    <row r="136" spans="2:10" x14ac:dyDescent="0.3">
      <c r="B136" s="2" t="s">
        <v>828</v>
      </c>
      <c r="C136" s="2">
        <f>PV(C120,4,C121)</f>
        <v>53756.273537412315</v>
      </c>
      <c r="D136" s="90" t="s">
        <v>683</v>
      </c>
    </row>
    <row r="137" spans="2:10" x14ac:dyDescent="0.3">
      <c r="B137" s="2" t="s">
        <v>468</v>
      </c>
      <c r="C137" s="2">
        <f>C115-C136</f>
        <v>166243.72646258769</v>
      </c>
    </row>
    <row r="138" spans="2:10" x14ac:dyDescent="0.3">
      <c r="B138" s="2" t="s">
        <v>68</v>
      </c>
      <c r="C138" s="15">
        <f>PV(15%,6,,-C137)</f>
        <v>71871.750596948928</v>
      </c>
    </row>
    <row r="139" spans="2:10" x14ac:dyDescent="0.3">
      <c r="B139" s="2" t="s">
        <v>69</v>
      </c>
      <c r="C139" s="2">
        <f>C135+C138</f>
        <v>137349.29424811748</v>
      </c>
    </row>
    <row r="140" spans="2:10" x14ac:dyDescent="0.3">
      <c r="B140" s="2" t="s">
        <v>65</v>
      </c>
      <c r="C140" s="82">
        <f>C139+C116</f>
        <v>237349.29424811748</v>
      </c>
    </row>
    <row r="142" spans="2:10" ht="19.5" thickBot="1" x14ac:dyDescent="0.35"/>
    <row r="143" spans="2:10" ht="96.75" customHeight="1" thickBot="1" x14ac:dyDescent="0.35">
      <c r="B143" s="161" t="s">
        <v>105</v>
      </c>
      <c r="C143" s="162"/>
      <c r="D143" s="162"/>
      <c r="E143" s="162"/>
      <c r="F143" s="162"/>
      <c r="G143" s="162"/>
      <c r="H143" s="162"/>
      <c r="I143" s="162"/>
      <c r="J143" s="163"/>
    </row>
    <row r="145" spans="2:10" x14ac:dyDescent="0.3">
      <c r="B145" s="2" t="s">
        <v>70</v>
      </c>
      <c r="C145" s="2">
        <v>2800000</v>
      </c>
    </row>
    <row r="146" spans="2:10" x14ac:dyDescent="0.3">
      <c r="B146" s="2" t="s">
        <v>71</v>
      </c>
      <c r="C146" s="2">
        <v>4</v>
      </c>
    </row>
    <row r="147" spans="2:10" x14ac:dyDescent="0.3">
      <c r="B147" s="2" t="s">
        <v>72</v>
      </c>
      <c r="C147" s="5">
        <v>0.26</v>
      </c>
    </row>
    <row r="148" spans="2:10" x14ac:dyDescent="0.3">
      <c r="B148" s="2" t="s">
        <v>17</v>
      </c>
      <c r="C148" s="82">
        <f>PV(C147,C146,,-C145)</f>
        <v>1110902.2614859517</v>
      </c>
    </row>
    <row r="150" spans="2:10" x14ac:dyDescent="0.3">
      <c r="B150" s="90" t="s">
        <v>519</v>
      </c>
    </row>
    <row r="152" spans="2:10" ht="19.5" thickBot="1" x14ac:dyDescent="0.35"/>
    <row r="153" spans="2:10" ht="40.5" customHeight="1" thickBot="1" x14ac:dyDescent="0.35">
      <c r="B153" s="161" t="s">
        <v>684</v>
      </c>
      <c r="C153" s="162"/>
      <c r="D153" s="162"/>
      <c r="E153" s="162"/>
      <c r="F153" s="162"/>
      <c r="G153" s="162"/>
      <c r="H153" s="162"/>
      <c r="I153" s="162"/>
      <c r="J153" s="163"/>
    </row>
    <row r="155" spans="2:10" x14ac:dyDescent="0.3">
      <c r="B155" s="2" t="s">
        <v>73</v>
      </c>
      <c r="C155" s="13">
        <v>3.1E-2</v>
      </c>
    </row>
    <row r="156" spans="2:10" x14ac:dyDescent="0.3">
      <c r="B156" s="2" t="s">
        <v>74</v>
      </c>
      <c r="C156" s="13">
        <v>2.5000000000000001E-2</v>
      </c>
    </row>
    <row r="157" spans="2:10" x14ac:dyDescent="0.3">
      <c r="B157" s="2" t="s">
        <v>25</v>
      </c>
      <c r="C157" s="13">
        <v>2.5000000000000001E-2</v>
      </c>
    </row>
    <row r="158" spans="2:10" x14ac:dyDescent="0.3">
      <c r="B158" s="2" t="s">
        <v>22</v>
      </c>
      <c r="C158" s="2">
        <v>4</v>
      </c>
    </row>
    <row r="159" spans="2:10" x14ac:dyDescent="0.3">
      <c r="B159" s="14" t="s">
        <v>35</v>
      </c>
      <c r="C159" s="2"/>
    </row>
    <row r="160" spans="2:10" x14ac:dyDescent="0.3">
      <c r="B160" s="2" t="s">
        <v>28</v>
      </c>
      <c r="C160" s="13">
        <f>C155*C158/12</f>
        <v>1.0333333333333333E-2</v>
      </c>
      <c r="D160" s="90" t="s">
        <v>829</v>
      </c>
    </row>
    <row r="161" spans="2:10" x14ac:dyDescent="0.3">
      <c r="B161" s="2" t="s">
        <v>16</v>
      </c>
      <c r="C161" s="85">
        <f>C155+C156+C157+C160</f>
        <v>9.1333333333333336E-2</v>
      </c>
    </row>
    <row r="163" spans="2:10" x14ac:dyDescent="0.3">
      <c r="B163" s="90" t="s">
        <v>520</v>
      </c>
    </row>
    <row r="165" spans="2:10" ht="19.5" thickBot="1" x14ac:dyDescent="0.35"/>
    <row r="166" spans="2:10" ht="59.25" customHeight="1" thickBot="1" x14ac:dyDescent="0.35">
      <c r="B166" s="161" t="s">
        <v>521</v>
      </c>
      <c r="C166" s="162"/>
      <c r="D166" s="162"/>
      <c r="E166" s="162"/>
      <c r="F166" s="162"/>
      <c r="G166" s="162"/>
      <c r="H166" s="162"/>
      <c r="I166" s="162"/>
      <c r="J166" s="163"/>
    </row>
    <row r="168" spans="2:10" x14ac:dyDescent="0.3">
      <c r="B168" s="2" t="s">
        <v>75</v>
      </c>
      <c r="C168" s="2">
        <v>100</v>
      </c>
    </row>
    <row r="169" spans="2:10" x14ac:dyDescent="0.3">
      <c r="B169" s="2" t="s">
        <v>76</v>
      </c>
      <c r="C169" s="2">
        <v>1000</v>
      </c>
    </row>
    <row r="170" spans="2:10" x14ac:dyDescent="0.3">
      <c r="B170" s="2" t="s">
        <v>77</v>
      </c>
      <c r="C170" s="2">
        <v>100</v>
      </c>
    </row>
    <row r="171" spans="2:10" x14ac:dyDescent="0.3">
      <c r="B171" s="2" t="s">
        <v>78</v>
      </c>
      <c r="C171" s="2">
        <v>5</v>
      </c>
    </row>
    <row r="172" spans="2:10" x14ac:dyDescent="0.3">
      <c r="B172" s="14" t="s">
        <v>35</v>
      </c>
      <c r="C172" s="2"/>
    </row>
    <row r="173" spans="2:10" x14ac:dyDescent="0.3">
      <c r="B173" s="2" t="s">
        <v>79</v>
      </c>
      <c r="C173" s="2">
        <f>(C169+C170)*12*C168</f>
        <v>1320000</v>
      </c>
    </row>
    <row r="174" spans="2:10" x14ac:dyDescent="0.3">
      <c r="B174" s="2" t="s">
        <v>80</v>
      </c>
      <c r="C174" s="82">
        <f>C173*C171</f>
        <v>6600000</v>
      </c>
    </row>
    <row r="176" spans="2:10" x14ac:dyDescent="0.3">
      <c r="B176" s="90" t="s">
        <v>522</v>
      </c>
    </row>
    <row r="178" spans="2:10" ht="19.5" thickBot="1" x14ac:dyDescent="0.35"/>
    <row r="179" spans="2:10" ht="58.5" customHeight="1" thickBot="1" x14ac:dyDescent="0.35">
      <c r="B179" s="161" t="s">
        <v>106</v>
      </c>
      <c r="C179" s="162"/>
      <c r="D179" s="162"/>
      <c r="E179" s="162"/>
      <c r="F179" s="162"/>
      <c r="G179" s="162"/>
      <c r="H179" s="162"/>
      <c r="I179" s="162"/>
      <c r="J179" s="163"/>
    </row>
    <row r="181" spans="2:10" x14ac:dyDescent="0.3">
      <c r="B181" s="2" t="s">
        <v>38</v>
      </c>
      <c r="C181" s="2">
        <v>2000000</v>
      </c>
    </row>
    <row r="182" spans="2:10" x14ac:dyDescent="0.3">
      <c r="B182" s="2" t="s">
        <v>81</v>
      </c>
      <c r="C182" s="2">
        <v>1500000</v>
      </c>
    </row>
    <row r="183" spans="2:10" x14ac:dyDescent="0.3">
      <c r="B183" s="2" t="s">
        <v>31</v>
      </c>
      <c r="C183" s="2">
        <v>200000</v>
      </c>
    </row>
    <row r="184" spans="2:10" x14ac:dyDescent="0.3">
      <c r="B184" s="2" t="s">
        <v>82</v>
      </c>
      <c r="C184" s="5">
        <v>0.12</v>
      </c>
    </row>
    <row r="185" spans="2:10" x14ac:dyDescent="0.3">
      <c r="B185" s="14" t="s">
        <v>35</v>
      </c>
      <c r="C185" s="2"/>
    </row>
    <row r="186" spans="2:10" x14ac:dyDescent="0.3">
      <c r="B186" s="2" t="s">
        <v>83</v>
      </c>
      <c r="C186" s="2">
        <f>C182*C184</f>
        <v>180000</v>
      </c>
    </row>
    <row r="187" spans="2:10" x14ac:dyDescent="0.3">
      <c r="B187" s="2" t="s">
        <v>84</v>
      </c>
      <c r="C187" s="2">
        <f>C183-C186</f>
        <v>20000</v>
      </c>
    </row>
    <row r="188" spans="2:10" x14ac:dyDescent="0.3">
      <c r="B188" s="2" t="s">
        <v>45</v>
      </c>
      <c r="C188" s="2">
        <f>C181-C182</f>
        <v>500000</v>
      </c>
    </row>
    <row r="189" spans="2:10" x14ac:dyDescent="0.3">
      <c r="B189" s="2" t="s">
        <v>85</v>
      </c>
      <c r="C189" s="85">
        <f>C187/C188</f>
        <v>0.04</v>
      </c>
    </row>
    <row r="191" spans="2:10" ht="19.5" thickBot="1" x14ac:dyDescent="0.35"/>
    <row r="192" spans="2:10" ht="153.75" customHeight="1" thickBot="1" x14ac:dyDescent="0.35">
      <c r="B192" s="161" t="s">
        <v>685</v>
      </c>
      <c r="C192" s="162"/>
      <c r="D192" s="162"/>
      <c r="E192" s="162"/>
      <c r="F192" s="162"/>
      <c r="G192" s="162"/>
      <c r="H192" s="162"/>
      <c r="I192" s="162"/>
      <c r="J192" s="163"/>
    </row>
    <row r="194" spans="2:7" x14ac:dyDescent="0.3">
      <c r="B194" s="111" t="s">
        <v>686</v>
      </c>
    </row>
    <row r="196" spans="2:7" x14ac:dyDescent="0.3">
      <c r="B196" s="2" t="s">
        <v>0</v>
      </c>
      <c r="C196" s="134">
        <v>0.5</v>
      </c>
      <c r="D196" s="134">
        <v>1</v>
      </c>
      <c r="E196" s="134">
        <v>1.5</v>
      </c>
      <c r="F196" s="19" t="s">
        <v>60</v>
      </c>
      <c r="G196" s="19" t="s">
        <v>90</v>
      </c>
    </row>
    <row r="197" spans="2:7" x14ac:dyDescent="0.3">
      <c r="B197" s="2" t="s">
        <v>86</v>
      </c>
      <c r="C197" s="2">
        <f>-220000000/3</f>
        <v>-73333333.333333328</v>
      </c>
      <c r="D197" s="2">
        <f t="shared" ref="D197:E197" si="9">-220000000/3</f>
        <v>-73333333.333333328</v>
      </c>
      <c r="E197" s="2">
        <f t="shared" si="9"/>
        <v>-73333333.333333328</v>
      </c>
      <c r="F197" s="2">
        <f>60000*5000</f>
        <v>300000000</v>
      </c>
      <c r="G197" s="2"/>
    </row>
    <row r="198" spans="2:7" x14ac:dyDescent="0.3">
      <c r="B198" s="2" t="s">
        <v>16</v>
      </c>
      <c r="C198" s="135">
        <v>0.2</v>
      </c>
      <c r="D198" s="135">
        <v>0.2</v>
      </c>
      <c r="E198" s="135">
        <v>0.2</v>
      </c>
      <c r="F198" s="2"/>
      <c r="G198" s="2"/>
    </row>
    <row r="199" spans="2:7" x14ac:dyDescent="0.3">
      <c r="B199" s="2" t="s">
        <v>87</v>
      </c>
      <c r="C199" s="18">
        <f>1/(1+C198)^C196</f>
        <v>0.9128709291752769</v>
      </c>
      <c r="D199" s="18">
        <f t="shared" ref="D199:E199" si="10">1/(1+D198)^D196</f>
        <v>0.83333333333333337</v>
      </c>
      <c r="E199" s="18">
        <f t="shared" si="10"/>
        <v>0.7607257743127307</v>
      </c>
      <c r="F199" s="18">
        <f>E199</f>
        <v>0.7607257743127307</v>
      </c>
      <c r="G199" s="2"/>
    </row>
    <row r="200" spans="2:7" x14ac:dyDescent="0.3">
      <c r="B200" s="2" t="s">
        <v>17</v>
      </c>
      <c r="C200" s="2">
        <f>C197*C199</f>
        <v>-66943868.139520302</v>
      </c>
      <c r="D200" s="2">
        <f t="shared" ref="D200:F200" si="11">D197*D199</f>
        <v>-61111111.111111112</v>
      </c>
      <c r="E200" s="2">
        <f t="shared" si="11"/>
        <v>-55786556.782933578</v>
      </c>
      <c r="F200" s="2">
        <f t="shared" si="11"/>
        <v>228217732.29381922</v>
      </c>
      <c r="G200" s="2">
        <f>SUM(C200:F200)</f>
        <v>44376196.260254234</v>
      </c>
    </row>
    <row r="201" spans="2:7" x14ac:dyDescent="0.3">
      <c r="B201" s="2"/>
      <c r="C201" s="2"/>
      <c r="D201" s="2"/>
      <c r="E201" s="2"/>
      <c r="F201" s="2"/>
      <c r="G201" s="2"/>
    </row>
    <row r="202" spans="2:7" x14ac:dyDescent="0.3">
      <c r="B202" s="2" t="s">
        <v>88</v>
      </c>
      <c r="C202" s="2">
        <f>-200000000/3</f>
        <v>-66666666.666666664</v>
      </c>
      <c r="D202" s="2">
        <f t="shared" ref="D202:E202" si="12">-200000000/3</f>
        <v>-66666666.666666664</v>
      </c>
      <c r="E202" s="2">
        <f t="shared" si="12"/>
        <v>-66666666.666666664</v>
      </c>
      <c r="F202" s="2">
        <f>6000*5000</f>
        <v>30000000</v>
      </c>
      <c r="G202" s="2"/>
    </row>
    <row r="203" spans="2:7" x14ac:dyDescent="0.3">
      <c r="B203" s="2" t="s">
        <v>48</v>
      </c>
      <c r="C203" s="2"/>
      <c r="D203" s="2"/>
      <c r="E203" s="2"/>
      <c r="F203" s="5">
        <v>0.95</v>
      </c>
      <c r="G203" s="2"/>
    </row>
    <row r="204" spans="2:7" x14ac:dyDescent="0.3">
      <c r="B204" s="2" t="s">
        <v>413</v>
      </c>
      <c r="C204" s="2"/>
      <c r="D204" s="2"/>
      <c r="E204" s="6"/>
      <c r="F204" s="2">
        <f>F202*F203</f>
        <v>28500000</v>
      </c>
      <c r="G204" s="2"/>
    </row>
    <row r="205" spans="2:7" x14ac:dyDescent="0.3">
      <c r="B205" s="2" t="s">
        <v>30</v>
      </c>
      <c r="C205" s="2"/>
      <c r="D205" s="2"/>
      <c r="E205" s="2"/>
      <c r="F205" s="5">
        <v>0.11</v>
      </c>
      <c r="G205" s="2"/>
    </row>
    <row r="206" spans="2:7" x14ac:dyDescent="0.3">
      <c r="B206" s="2" t="s">
        <v>15</v>
      </c>
      <c r="C206" s="2"/>
      <c r="D206" s="2"/>
      <c r="E206" s="2"/>
      <c r="F206" s="2">
        <f>F204/F205</f>
        <v>259090909.09090909</v>
      </c>
      <c r="G206" s="2"/>
    </row>
    <row r="207" spans="2:7" x14ac:dyDescent="0.3">
      <c r="B207" s="2" t="s">
        <v>89</v>
      </c>
      <c r="C207" s="2">
        <f>C202</f>
        <v>-66666666.666666664</v>
      </c>
      <c r="D207" s="2">
        <f t="shared" ref="D207:E207" si="13">D202</f>
        <v>-66666666.666666664</v>
      </c>
      <c r="E207" s="2">
        <f t="shared" si="13"/>
        <v>-66666666.666666664</v>
      </c>
      <c r="F207" s="2">
        <f>F206</f>
        <v>259090909.09090909</v>
      </c>
      <c r="G207" s="2"/>
    </row>
    <row r="208" spans="2:7" x14ac:dyDescent="0.3">
      <c r="B208" s="2" t="s">
        <v>17</v>
      </c>
      <c r="C208" s="2">
        <f>C199*C207</f>
        <v>-60858061.945018455</v>
      </c>
      <c r="D208" s="2">
        <f t="shared" ref="D208:F208" si="14">D199*D207</f>
        <v>-55555555.555555552</v>
      </c>
      <c r="E208" s="2">
        <f t="shared" si="14"/>
        <v>-50715051.620848708</v>
      </c>
      <c r="F208" s="2">
        <f t="shared" si="14"/>
        <v>197097132.43557113</v>
      </c>
      <c r="G208" s="2">
        <f>SUM(C208:F208)</f>
        <v>29968463.314148426</v>
      </c>
    </row>
    <row r="209" spans="2:10" x14ac:dyDescent="0.3">
      <c r="B209" s="2" t="s">
        <v>91</v>
      </c>
      <c r="C209" s="2"/>
      <c r="D209" s="2"/>
      <c r="E209" s="2"/>
      <c r="F209" s="2"/>
      <c r="G209" s="82">
        <f>G200-G208</f>
        <v>14407732.946105808</v>
      </c>
    </row>
    <row r="211" spans="2:10" x14ac:dyDescent="0.3">
      <c r="B211" s="111" t="s">
        <v>687</v>
      </c>
      <c r="C211" s="136">
        <f>(1+C198)^0.5-1</f>
        <v>9.5445115010332149E-2</v>
      </c>
    </row>
    <row r="213" spans="2:10" ht="19.5" thickBot="1" x14ac:dyDescent="0.35"/>
    <row r="214" spans="2:10" ht="78.75" customHeight="1" thickBot="1" x14ac:dyDescent="0.35">
      <c r="B214" s="161" t="s">
        <v>688</v>
      </c>
      <c r="C214" s="162"/>
      <c r="D214" s="162"/>
      <c r="E214" s="162"/>
      <c r="F214" s="162"/>
      <c r="G214" s="162"/>
      <c r="H214" s="162"/>
      <c r="I214" s="162"/>
      <c r="J214" s="163"/>
    </row>
    <row r="216" spans="2:10" x14ac:dyDescent="0.3">
      <c r="B216" s="2" t="s">
        <v>0</v>
      </c>
      <c r="C216" s="3">
        <v>1</v>
      </c>
      <c r="D216" s="3">
        <v>2</v>
      </c>
      <c r="E216" s="19" t="s">
        <v>92</v>
      </c>
    </row>
    <row r="217" spans="2:10" x14ac:dyDescent="0.3">
      <c r="B217" s="2" t="s">
        <v>89</v>
      </c>
      <c r="C217" s="2">
        <v>-5000000</v>
      </c>
      <c r="D217" s="2">
        <v>-5000000</v>
      </c>
      <c r="E217" s="2">
        <v>25000000</v>
      </c>
    </row>
    <row r="218" spans="2:10" x14ac:dyDescent="0.3">
      <c r="B218" s="2" t="s">
        <v>16</v>
      </c>
      <c r="C218" s="5">
        <v>0.2</v>
      </c>
      <c r="D218" s="5">
        <v>0.2</v>
      </c>
      <c r="E218" s="5">
        <v>0.2</v>
      </c>
    </row>
    <row r="219" spans="2:10" x14ac:dyDescent="0.3">
      <c r="B219" s="2" t="s">
        <v>17</v>
      </c>
      <c r="C219" s="2">
        <f>C217/(1+C218)^(1-C216)</f>
        <v>-5000000</v>
      </c>
      <c r="D219" s="2">
        <f>D217/(1+D218)^D216</f>
        <v>-3472222.2222222225</v>
      </c>
      <c r="E219" s="2">
        <f>E217/(1+E218)^D216</f>
        <v>17361111.111111112</v>
      </c>
    </row>
    <row r="220" spans="2:10" x14ac:dyDescent="0.3">
      <c r="B220" s="2" t="s">
        <v>93</v>
      </c>
      <c r="C220" s="2">
        <f>C219+D219+E219</f>
        <v>8888888.8888888899</v>
      </c>
      <c r="D220" s="2"/>
      <c r="E220" s="2"/>
    </row>
    <row r="221" spans="2:10" x14ac:dyDescent="0.3">
      <c r="B221" s="2" t="s">
        <v>94</v>
      </c>
      <c r="C221" s="82">
        <f>ROUND(C220,-3)</f>
        <v>8889000</v>
      </c>
      <c r="D221" s="2"/>
      <c r="E221" s="2"/>
    </row>
    <row r="223" spans="2:10" x14ac:dyDescent="0.3">
      <c r="B223" s="90" t="s">
        <v>523</v>
      </c>
    </row>
    <row r="224" spans="2:10" x14ac:dyDescent="0.3">
      <c r="B224" s="90" t="s">
        <v>524</v>
      </c>
    </row>
    <row r="226" spans="2:10" ht="19.5" thickBot="1" x14ac:dyDescent="0.35"/>
    <row r="227" spans="2:10" ht="41.25" customHeight="1" thickBot="1" x14ac:dyDescent="0.35">
      <c r="B227" s="161" t="s">
        <v>99</v>
      </c>
      <c r="C227" s="162"/>
      <c r="D227" s="162"/>
      <c r="E227" s="162"/>
      <c r="F227" s="162"/>
      <c r="G227" s="162"/>
      <c r="H227" s="162"/>
      <c r="I227" s="162"/>
      <c r="J227" s="163"/>
    </row>
    <row r="229" spans="2:10" x14ac:dyDescent="0.3">
      <c r="B229" s="2" t="s">
        <v>31</v>
      </c>
      <c r="C229" s="2">
        <v>200000</v>
      </c>
    </row>
    <row r="230" spans="2:10" x14ac:dyDescent="0.3">
      <c r="B230" s="2" t="s">
        <v>95</v>
      </c>
      <c r="C230" s="2">
        <v>800000</v>
      </c>
    </row>
    <row r="231" spans="2:10" x14ac:dyDescent="0.3">
      <c r="B231" s="2" t="s">
        <v>96</v>
      </c>
      <c r="C231" s="5">
        <v>0.15</v>
      </c>
    </row>
    <row r="232" spans="2:10" x14ac:dyDescent="0.3">
      <c r="B232" s="2" t="s">
        <v>97</v>
      </c>
      <c r="C232" s="5">
        <v>0.1</v>
      </c>
    </row>
    <row r="233" spans="2:10" x14ac:dyDescent="0.3">
      <c r="B233" s="14" t="s">
        <v>35</v>
      </c>
      <c r="C233" s="2"/>
    </row>
    <row r="234" spans="2:10" x14ac:dyDescent="0.3">
      <c r="B234" s="2" t="s">
        <v>98</v>
      </c>
      <c r="C234" s="2">
        <f>C230*C231</f>
        <v>120000</v>
      </c>
    </row>
    <row r="235" spans="2:10" x14ac:dyDescent="0.3">
      <c r="B235" s="2" t="s">
        <v>84</v>
      </c>
      <c r="C235" s="82">
        <f>C229-C234</f>
        <v>80000</v>
      </c>
    </row>
    <row r="237" spans="2:10" ht="19.5" thickBot="1" x14ac:dyDescent="0.35"/>
    <row r="238" spans="2:10" ht="42" customHeight="1" thickBot="1" x14ac:dyDescent="0.35">
      <c r="B238" s="161" t="s">
        <v>525</v>
      </c>
      <c r="C238" s="162"/>
      <c r="D238" s="162"/>
      <c r="E238" s="162"/>
      <c r="F238" s="162"/>
      <c r="G238" s="162"/>
      <c r="H238" s="162"/>
      <c r="I238" s="162"/>
      <c r="J238" s="163"/>
    </row>
    <row r="240" spans="2:10" x14ac:dyDescent="0.3">
      <c r="B240" s="2" t="s">
        <v>2</v>
      </c>
      <c r="C240" s="2">
        <v>450</v>
      </c>
    </row>
    <row r="241" spans="2:10" x14ac:dyDescent="0.3">
      <c r="B241" s="2" t="s">
        <v>3</v>
      </c>
      <c r="C241" s="2">
        <v>410</v>
      </c>
    </row>
    <row r="242" spans="2:10" x14ac:dyDescent="0.3">
      <c r="B242" s="2" t="s">
        <v>459</v>
      </c>
      <c r="C242" s="2">
        <v>7000</v>
      </c>
      <c r="D242" s="1">
        <f>C242*C241</f>
        <v>2870000</v>
      </c>
    </row>
    <row r="243" spans="2:10" x14ac:dyDescent="0.3">
      <c r="B243" s="2" t="s">
        <v>460</v>
      </c>
      <c r="C243" s="95">
        <v>0.05</v>
      </c>
    </row>
    <row r="244" spans="2:10" x14ac:dyDescent="0.3">
      <c r="B244" s="14" t="s">
        <v>35</v>
      </c>
      <c r="C244" s="2"/>
    </row>
    <row r="245" spans="2:10" x14ac:dyDescent="0.3">
      <c r="B245" s="2" t="s">
        <v>49</v>
      </c>
      <c r="C245" s="82">
        <f>C241*C242*(1-C243)</f>
        <v>2726500</v>
      </c>
      <c r="D245" s="90" t="s">
        <v>526</v>
      </c>
    </row>
    <row r="247" spans="2:10" ht="19.5" thickBot="1" x14ac:dyDescent="0.35"/>
    <row r="248" spans="2:10" ht="58.5" customHeight="1" thickBot="1" x14ac:dyDescent="0.35">
      <c r="B248" s="161" t="s">
        <v>461</v>
      </c>
      <c r="C248" s="162"/>
      <c r="D248" s="162"/>
      <c r="E248" s="162"/>
      <c r="F248" s="162"/>
      <c r="G248" s="162"/>
      <c r="H248" s="162"/>
      <c r="I248" s="162"/>
      <c r="J248" s="163"/>
    </row>
    <row r="250" spans="2:10" x14ac:dyDescent="0.3">
      <c r="B250" s="2" t="s">
        <v>462</v>
      </c>
      <c r="C250" s="2">
        <v>100</v>
      </c>
    </row>
    <row r="251" spans="2:10" x14ac:dyDescent="0.3">
      <c r="B251" s="2" t="s">
        <v>463</v>
      </c>
      <c r="C251" s="2">
        <v>3.54</v>
      </c>
    </row>
    <row r="252" spans="2:10" x14ac:dyDescent="0.3">
      <c r="B252" s="2" t="s">
        <v>464</v>
      </c>
      <c r="C252" s="2">
        <v>1.18</v>
      </c>
    </row>
    <row r="253" spans="2:10" x14ac:dyDescent="0.3">
      <c r="B253" s="14" t="s">
        <v>35</v>
      </c>
      <c r="C253" s="2"/>
    </row>
    <row r="254" spans="2:10" x14ac:dyDescent="0.3">
      <c r="B254" s="2" t="s">
        <v>466</v>
      </c>
      <c r="C254" s="2">
        <f>C251/C252</f>
        <v>3</v>
      </c>
    </row>
    <row r="255" spans="2:10" x14ac:dyDescent="0.3">
      <c r="B255" s="2" t="s">
        <v>465</v>
      </c>
      <c r="C255" s="82">
        <f>C250*C254</f>
        <v>300</v>
      </c>
    </row>
    <row r="257" spans="2:10" ht="19.5" thickBot="1" x14ac:dyDescent="0.35"/>
    <row r="258" spans="2:10" ht="58.5" customHeight="1" thickBot="1" x14ac:dyDescent="0.35">
      <c r="B258" s="161" t="s">
        <v>107</v>
      </c>
      <c r="C258" s="162"/>
      <c r="D258" s="162"/>
      <c r="E258" s="162"/>
      <c r="F258" s="162"/>
      <c r="G258" s="162"/>
      <c r="H258" s="162"/>
      <c r="I258" s="162"/>
      <c r="J258" s="163"/>
    </row>
    <row r="260" spans="2:10" x14ac:dyDescent="0.3">
      <c r="B260" s="2" t="s">
        <v>45</v>
      </c>
      <c r="C260" s="2">
        <v>110000</v>
      </c>
    </row>
    <row r="261" spans="2:10" x14ac:dyDescent="0.3">
      <c r="B261" s="2" t="s">
        <v>98</v>
      </c>
      <c r="C261" s="2">
        <v>55000</v>
      </c>
    </row>
    <row r="262" spans="2:10" x14ac:dyDescent="0.3">
      <c r="B262" s="2" t="s">
        <v>108</v>
      </c>
      <c r="C262" s="5">
        <v>0.13</v>
      </c>
    </row>
    <row r="263" spans="2:10" x14ac:dyDescent="0.3">
      <c r="B263" s="2" t="s">
        <v>109</v>
      </c>
      <c r="C263" s="2">
        <v>35</v>
      </c>
    </row>
    <row r="264" spans="2:10" x14ac:dyDescent="0.3">
      <c r="B264" s="2" t="s">
        <v>23</v>
      </c>
      <c r="C264" s="5">
        <v>0.08</v>
      </c>
    </row>
    <row r="265" spans="2:10" x14ac:dyDescent="0.3">
      <c r="B265" s="14" t="s">
        <v>35</v>
      </c>
      <c r="C265" s="2"/>
    </row>
    <row r="266" spans="2:10" x14ac:dyDescent="0.3">
      <c r="B266" s="2" t="s">
        <v>29</v>
      </c>
      <c r="C266" s="13">
        <f>PMT(C264,C263,,-1)</f>
        <v>5.8032645606798106E-3</v>
      </c>
      <c r="D266" s="90" t="s">
        <v>527</v>
      </c>
    </row>
    <row r="267" spans="2:10" x14ac:dyDescent="0.3">
      <c r="B267" s="2" t="s">
        <v>30</v>
      </c>
      <c r="C267" s="13">
        <f>C262+C266</f>
        <v>0.13580326456067981</v>
      </c>
      <c r="D267" s="90" t="s">
        <v>528</v>
      </c>
    </row>
    <row r="268" spans="2:10" x14ac:dyDescent="0.3">
      <c r="B268" s="2" t="s">
        <v>95</v>
      </c>
      <c r="C268" s="2">
        <f>C261/C267</f>
        <v>404997.62783997593</v>
      </c>
      <c r="D268" s="90" t="s">
        <v>529</v>
      </c>
    </row>
    <row r="269" spans="2:10" x14ac:dyDescent="0.3">
      <c r="B269" s="2" t="s">
        <v>38</v>
      </c>
      <c r="C269" s="82">
        <f>C260+C268</f>
        <v>514997.62783997593</v>
      </c>
      <c r="D269" s="90" t="s">
        <v>530</v>
      </c>
    </row>
    <row r="271" spans="2:10" ht="19.5" thickBot="1" x14ac:dyDescent="0.35"/>
    <row r="272" spans="2:10" ht="135" customHeight="1" thickBot="1" x14ac:dyDescent="0.35">
      <c r="B272" s="161" t="s">
        <v>467</v>
      </c>
      <c r="C272" s="162"/>
      <c r="D272" s="162"/>
      <c r="E272" s="162"/>
      <c r="F272" s="162"/>
      <c r="G272" s="162"/>
      <c r="H272" s="162"/>
      <c r="I272" s="162"/>
      <c r="J272" s="163"/>
    </row>
    <row r="274" spans="2:7" x14ac:dyDescent="0.3">
      <c r="B274" s="111" t="s">
        <v>689</v>
      </c>
    </row>
    <row r="276" spans="2:7" x14ac:dyDescent="0.3">
      <c r="B276" s="2" t="s">
        <v>0</v>
      </c>
      <c r="C276" s="16">
        <v>1</v>
      </c>
      <c r="D276" s="16">
        <v>2</v>
      </c>
      <c r="E276" s="16">
        <v>3</v>
      </c>
      <c r="F276" s="17" t="s">
        <v>1</v>
      </c>
    </row>
    <row r="277" spans="2:7" x14ac:dyDescent="0.3">
      <c r="B277" s="2" t="s">
        <v>46</v>
      </c>
      <c r="C277" s="2">
        <v>-200000000</v>
      </c>
      <c r="D277" s="2">
        <v>-200000000</v>
      </c>
      <c r="E277" s="2"/>
      <c r="F277" s="2"/>
    </row>
    <row r="278" spans="2:7" x14ac:dyDescent="0.3">
      <c r="B278" s="2" t="s">
        <v>3</v>
      </c>
      <c r="C278" s="2"/>
      <c r="D278" s="2"/>
      <c r="E278" s="2">
        <v>4000</v>
      </c>
      <c r="F278" s="2">
        <v>4000</v>
      </c>
    </row>
    <row r="279" spans="2:7" x14ac:dyDescent="0.3">
      <c r="B279" s="2" t="s">
        <v>47</v>
      </c>
      <c r="C279" s="2"/>
      <c r="D279" s="2"/>
      <c r="E279" s="2">
        <v>25000</v>
      </c>
      <c r="F279" s="2">
        <v>25000</v>
      </c>
    </row>
    <row r="280" spans="2:7" x14ac:dyDescent="0.3">
      <c r="B280" s="2" t="s">
        <v>48</v>
      </c>
      <c r="C280" s="2"/>
      <c r="D280" s="2"/>
      <c r="E280" s="5">
        <v>0.7</v>
      </c>
      <c r="F280" s="5">
        <v>0.9</v>
      </c>
    </row>
    <row r="281" spans="2:7" x14ac:dyDescent="0.3">
      <c r="B281" s="2" t="s">
        <v>49</v>
      </c>
      <c r="C281" s="2"/>
      <c r="D281" s="2"/>
      <c r="E281" s="2">
        <f>E278*E279*E280</f>
        <v>70000000</v>
      </c>
      <c r="F281" s="2">
        <f>F278*F279*F280</f>
        <v>90000000</v>
      </c>
    </row>
    <row r="282" spans="2:7" x14ac:dyDescent="0.3">
      <c r="B282" s="2" t="s">
        <v>14</v>
      </c>
      <c r="C282" s="2"/>
      <c r="D282" s="2"/>
      <c r="E282" s="2"/>
      <c r="F282" s="5">
        <v>0.1</v>
      </c>
    </row>
    <row r="283" spans="2:7" x14ac:dyDescent="0.3">
      <c r="B283" s="2" t="s">
        <v>15</v>
      </c>
      <c r="C283" s="2"/>
      <c r="D283" s="2"/>
      <c r="E283" s="2"/>
      <c r="F283" s="2">
        <f>F281/F282</f>
        <v>900000000</v>
      </c>
    </row>
    <row r="284" spans="2:7" x14ac:dyDescent="0.3">
      <c r="B284" s="2" t="s">
        <v>50</v>
      </c>
      <c r="C284" s="2">
        <f>C277</f>
        <v>-200000000</v>
      </c>
      <c r="D284" s="2">
        <f>D277</f>
        <v>-200000000</v>
      </c>
      <c r="E284" s="2">
        <f>E281</f>
        <v>70000000</v>
      </c>
      <c r="F284" s="2">
        <f>F283</f>
        <v>900000000</v>
      </c>
    </row>
    <row r="285" spans="2:7" x14ac:dyDescent="0.3">
      <c r="B285" s="2" t="s">
        <v>16</v>
      </c>
      <c r="C285" s="5">
        <v>0.2</v>
      </c>
      <c r="D285" s="5">
        <v>0.2</v>
      </c>
      <c r="E285" s="5">
        <v>0.16</v>
      </c>
      <c r="F285" s="2"/>
    </row>
    <row r="286" spans="2:7" x14ac:dyDescent="0.3">
      <c r="B286" s="2" t="s">
        <v>54</v>
      </c>
      <c r="C286" s="18">
        <f>1/(1+C285)</f>
        <v>0.83333333333333337</v>
      </c>
      <c r="D286" s="18">
        <f>1/(1+D285)</f>
        <v>0.83333333333333337</v>
      </c>
      <c r="E286" s="18">
        <f>1/(1+E285)</f>
        <v>0.86206896551724144</v>
      </c>
      <c r="F286" s="2"/>
    </row>
    <row r="287" spans="2:7" x14ac:dyDescent="0.3">
      <c r="B287" s="2" t="s">
        <v>51</v>
      </c>
      <c r="C287" s="18">
        <f>C286</f>
        <v>0.83333333333333337</v>
      </c>
      <c r="D287" s="18">
        <f>C286*D286</f>
        <v>0.69444444444444453</v>
      </c>
      <c r="E287" s="18">
        <f>C286*D286*E286</f>
        <v>0.59865900383141779</v>
      </c>
      <c r="F287" s="18">
        <f>E287</f>
        <v>0.59865900383141779</v>
      </c>
      <c r="G287" s="90" t="s">
        <v>534</v>
      </c>
    </row>
    <row r="288" spans="2:7" x14ac:dyDescent="0.3">
      <c r="B288" s="2" t="s">
        <v>52</v>
      </c>
      <c r="C288" s="2">
        <f>C284*C287</f>
        <v>-166666666.66666669</v>
      </c>
      <c r="D288" s="2">
        <f>D284*D287</f>
        <v>-138888888.8888889</v>
      </c>
      <c r="E288" s="2">
        <f>E284*E287</f>
        <v>41906130.268199243</v>
      </c>
      <c r="F288" s="2">
        <f>F284*F287</f>
        <v>538793103.44827604</v>
      </c>
    </row>
    <row r="289" spans="2:10" x14ac:dyDescent="0.3">
      <c r="B289" s="2" t="s">
        <v>53</v>
      </c>
      <c r="C289" s="82">
        <f>C288+D288+E288+F288</f>
        <v>275143678.16091967</v>
      </c>
      <c r="D289" s="2"/>
      <c r="E289" s="2"/>
      <c r="F289" s="2"/>
    </row>
    <row r="291" spans="2:10" ht="19.5" thickBot="1" x14ac:dyDescent="0.35"/>
    <row r="292" spans="2:10" ht="58.5" customHeight="1" thickBot="1" x14ac:dyDescent="0.35">
      <c r="B292" s="161" t="s">
        <v>479</v>
      </c>
      <c r="C292" s="162"/>
      <c r="D292" s="162"/>
      <c r="E292" s="162"/>
      <c r="F292" s="162"/>
      <c r="G292" s="162"/>
      <c r="H292" s="162"/>
      <c r="I292" s="162"/>
      <c r="J292" s="163"/>
    </row>
    <row r="296" spans="2:10" x14ac:dyDescent="0.3">
      <c r="B296" s="2" t="s">
        <v>56</v>
      </c>
      <c r="C296" s="2">
        <v>900000</v>
      </c>
    </row>
    <row r="297" spans="2:10" x14ac:dyDescent="0.3">
      <c r="B297" s="2" t="s">
        <v>55</v>
      </c>
      <c r="C297" s="2">
        <v>150000</v>
      </c>
    </row>
    <row r="298" spans="2:10" x14ac:dyDescent="0.3">
      <c r="B298" s="2" t="s">
        <v>468</v>
      </c>
      <c r="C298" s="2">
        <v>1200000</v>
      </c>
    </row>
    <row r="299" spans="2:10" x14ac:dyDescent="0.3">
      <c r="B299" s="2" t="s">
        <v>458</v>
      </c>
      <c r="C299" s="5">
        <v>0.15</v>
      </c>
      <c r="D299" s="130">
        <f>C297/C299</f>
        <v>1000000</v>
      </c>
      <c r="E299" s="1" t="s">
        <v>662</v>
      </c>
    </row>
    <row r="300" spans="2:10" x14ac:dyDescent="0.3">
      <c r="B300" s="2" t="s">
        <v>57</v>
      </c>
      <c r="C300" s="12">
        <v>30</v>
      </c>
    </row>
    <row r="301" spans="2:10" x14ac:dyDescent="0.3">
      <c r="B301" s="2" t="s">
        <v>58</v>
      </c>
      <c r="C301" s="5">
        <v>0.12</v>
      </c>
    </row>
    <row r="302" spans="2:10" x14ac:dyDescent="0.3">
      <c r="B302" s="2" t="s">
        <v>469</v>
      </c>
      <c r="C302" s="12">
        <v>10</v>
      </c>
    </row>
    <row r="303" spans="2:10" x14ac:dyDescent="0.3">
      <c r="B303" s="14" t="s">
        <v>35</v>
      </c>
      <c r="C303" s="5"/>
    </row>
    <row r="304" spans="2:10" x14ac:dyDescent="0.3">
      <c r="B304" s="2" t="s">
        <v>514</v>
      </c>
      <c r="C304" s="97">
        <f>C300*12</f>
        <v>360</v>
      </c>
      <c r="D304" s="90" t="s">
        <v>484</v>
      </c>
    </row>
    <row r="305" spans="2:10" x14ac:dyDescent="0.3">
      <c r="B305" s="2" t="s">
        <v>480</v>
      </c>
      <c r="C305" s="5">
        <f>C301/12</f>
        <v>0.01</v>
      </c>
      <c r="D305" s="90" t="s">
        <v>483</v>
      </c>
    </row>
    <row r="306" spans="2:10" x14ac:dyDescent="0.3">
      <c r="B306" s="2" t="s">
        <v>515</v>
      </c>
      <c r="C306" s="97">
        <f>C302*12</f>
        <v>120</v>
      </c>
      <c r="D306" s="90" t="s">
        <v>485</v>
      </c>
    </row>
    <row r="307" spans="2:10" x14ac:dyDescent="0.3">
      <c r="B307" s="2" t="s">
        <v>481</v>
      </c>
      <c r="C307" s="2">
        <f>PMT(C305,C304,-C296)</f>
        <v>9257.5133723295403</v>
      </c>
      <c r="D307" s="90" t="s">
        <v>486</v>
      </c>
    </row>
    <row r="308" spans="2:10" x14ac:dyDescent="0.3">
      <c r="B308" s="2" t="s">
        <v>482</v>
      </c>
      <c r="C308" s="2">
        <f>C307*12</f>
        <v>111090.16046795448</v>
      </c>
      <c r="D308" s="90" t="s">
        <v>487</v>
      </c>
    </row>
    <row r="309" spans="2:10" x14ac:dyDescent="0.3">
      <c r="B309" s="2" t="s">
        <v>470</v>
      </c>
      <c r="C309" s="2">
        <f>C297-C308</f>
        <v>38909.839532045517</v>
      </c>
      <c r="D309" s="90" t="s">
        <v>488</v>
      </c>
    </row>
    <row r="310" spans="2:10" x14ac:dyDescent="0.3">
      <c r="B310" s="2" t="s">
        <v>478</v>
      </c>
      <c r="C310" s="15">
        <f>PV(C299,C302,-C309)</f>
        <v>195279.4818804526</v>
      </c>
      <c r="D310" s="90" t="s">
        <v>489</v>
      </c>
    </row>
    <row r="311" spans="2:10" x14ac:dyDescent="0.3">
      <c r="B311" s="2" t="s">
        <v>472</v>
      </c>
      <c r="C311" s="2">
        <f>(C300-C302)*12</f>
        <v>240</v>
      </c>
      <c r="D311" s="90" t="s">
        <v>516</v>
      </c>
    </row>
    <row r="312" spans="2:10" x14ac:dyDescent="0.3">
      <c r="B312" s="2" t="s">
        <v>471</v>
      </c>
      <c r="C312" s="2">
        <f>PV(C305,C311,-C307)</f>
        <v>840761.96131156594</v>
      </c>
      <c r="D312" s="90" t="s">
        <v>490</v>
      </c>
    </row>
    <row r="313" spans="2:10" x14ac:dyDescent="0.3">
      <c r="B313" s="2" t="s">
        <v>473</v>
      </c>
      <c r="C313" s="2">
        <f>C298-C312</f>
        <v>359238.03868843406</v>
      </c>
      <c r="D313" s="90" t="s">
        <v>474</v>
      </c>
    </row>
    <row r="314" spans="2:10" x14ac:dyDescent="0.3">
      <c r="B314" s="2" t="s">
        <v>475</v>
      </c>
      <c r="C314" s="15">
        <f>PV(C299,C302,,-C313)</f>
        <v>88798.149020996047</v>
      </c>
      <c r="D314" s="90" t="s">
        <v>491</v>
      </c>
    </row>
    <row r="315" spans="2:10" x14ac:dyDescent="0.3">
      <c r="B315" s="2" t="s">
        <v>476</v>
      </c>
      <c r="C315" s="15">
        <f>C310+C314</f>
        <v>284077.63090144866</v>
      </c>
      <c r="D315" s="90" t="s">
        <v>477</v>
      </c>
    </row>
    <row r="316" spans="2:10" x14ac:dyDescent="0.3">
      <c r="B316" s="2" t="s">
        <v>65</v>
      </c>
      <c r="C316" s="84">
        <f>C296+C315</f>
        <v>1184077.6309014487</v>
      </c>
    </row>
    <row r="318" spans="2:10" ht="19.5" thickBot="1" x14ac:dyDescent="0.35"/>
    <row r="319" spans="2:10" ht="111" customHeight="1" thickBot="1" x14ac:dyDescent="0.35">
      <c r="B319" s="161" t="s">
        <v>690</v>
      </c>
      <c r="C319" s="162"/>
      <c r="D319" s="162"/>
      <c r="E319" s="162"/>
      <c r="F319" s="162"/>
      <c r="G319" s="162"/>
      <c r="H319" s="162"/>
      <c r="I319" s="162"/>
      <c r="J319" s="163"/>
    </row>
    <row r="322" spans="2:6" x14ac:dyDescent="0.3">
      <c r="B322" s="2" t="s">
        <v>0</v>
      </c>
      <c r="C322" s="3">
        <v>1</v>
      </c>
      <c r="D322" s="3">
        <v>2</v>
      </c>
      <c r="E322" s="3">
        <v>3</v>
      </c>
      <c r="F322" s="2" t="s">
        <v>1</v>
      </c>
    </row>
    <row r="323" spans="2:6" x14ac:dyDescent="0.3">
      <c r="B323" s="2" t="s">
        <v>110</v>
      </c>
      <c r="C323" s="2">
        <v>5000</v>
      </c>
      <c r="D323" s="2">
        <v>5000</v>
      </c>
      <c r="E323" s="2">
        <v>5000</v>
      </c>
      <c r="F323" s="2">
        <v>5000</v>
      </c>
    </row>
    <row r="324" spans="2:6" x14ac:dyDescent="0.3">
      <c r="B324" s="2" t="s">
        <v>691</v>
      </c>
      <c r="C324" s="2">
        <v>4000</v>
      </c>
      <c r="D324" s="2">
        <v>4000</v>
      </c>
      <c r="E324" s="2">
        <v>4000</v>
      </c>
      <c r="F324" s="2">
        <v>4000</v>
      </c>
    </row>
    <row r="325" spans="2:6" x14ac:dyDescent="0.3">
      <c r="B325" s="15" t="s">
        <v>112</v>
      </c>
      <c r="C325" s="2"/>
      <c r="D325" s="2"/>
      <c r="E325" s="2"/>
      <c r="F325" s="2"/>
    </row>
    <row r="326" spans="2:6" x14ac:dyDescent="0.3">
      <c r="B326" s="2" t="s">
        <v>692</v>
      </c>
      <c r="C326" s="135">
        <v>0.45</v>
      </c>
      <c r="D326" s="135">
        <v>0.45</v>
      </c>
      <c r="E326" s="135">
        <v>0.45</v>
      </c>
      <c r="F326" s="135">
        <v>0.45</v>
      </c>
    </row>
    <row r="327" spans="2:6" x14ac:dyDescent="0.3">
      <c r="B327" s="2" t="s">
        <v>113</v>
      </c>
      <c r="C327" s="2">
        <f>C324*C326</f>
        <v>1800</v>
      </c>
      <c r="D327" s="2">
        <f t="shared" ref="D327:F327" si="15">D324*D326</f>
        <v>1800</v>
      </c>
      <c r="E327" s="2">
        <f t="shared" si="15"/>
        <v>1800</v>
      </c>
      <c r="F327" s="2">
        <f t="shared" si="15"/>
        <v>1800</v>
      </c>
    </row>
    <row r="328" spans="2:6" x14ac:dyDescent="0.3">
      <c r="B328" s="2" t="s">
        <v>114</v>
      </c>
      <c r="C328" s="2">
        <v>10000</v>
      </c>
      <c r="D328" s="2">
        <v>11000</v>
      </c>
      <c r="E328" s="2">
        <v>13000</v>
      </c>
      <c r="F328" s="2">
        <v>15000</v>
      </c>
    </row>
    <row r="329" spans="2:6" x14ac:dyDescent="0.3">
      <c r="B329" s="2" t="s">
        <v>117</v>
      </c>
      <c r="C329" s="2">
        <f>C327*C328</f>
        <v>18000000</v>
      </c>
      <c r="D329" s="2">
        <f t="shared" ref="D329:F329" si="16">D327*D328</f>
        <v>19800000</v>
      </c>
      <c r="E329" s="2">
        <f t="shared" si="16"/>
        <v>23400000</v>
      </c>
      <c r="F329" s="2">
        <f t="shared" si="16"/>
        <v>27000000</v>
      </c>
    </row>
    <row r="330" spans="2:6" x14ac:dyDescent="0.3">
      <c r="B330" s="2" t="s">
        <v>695</v>
      </c>
      <c r="C330" s="2">
        <v>5500</v>
      </c>
      <c r="D330" s="2">
        <v>5500</v>
      </c>
      <c r="E330" s="2">
        <v>5500</v>
      </c>
      <c r="F330" s="2">
        <v>5500</v>
      </c>
    </row>
    <row r="331" spans="2:6" x14ac:dyDescent="0.3">
      <c r="B331" s="2" t="s">
        <v>115</v>
      </c>
      <c r="C331" s="2">
        <f>C330*C327</f>
        <v>9900000</v>
      </c>
      <c r="D331" s="2">
        <f>D330*D327</f>
        <v>9900000</v>
      </c>
      <c r="E331" s="2">
        <f>E330*E327</f>
        <v>9900000</v>
      </c>
      <c r="F331" s="2">
        <f>F330*F327</f>
        <v>9900000</v>
      </c>
    </row>
    <row r="332" spans="2:6" x14ac:dyDescent="0.3">
      <c r="B332" s="9" t="s">
        <v>116</v>
      </c>
      <c r="C332" s="9">
        <f>C329+C331</f>
        <v>27900000</v>
      </c>
      <c r="D332" s="9">
        <f>D329+D331</f>
        <v>29700000</v>
      </c>
      <c r="E332" s="9">
        <f>E329+E331</f>
        <v>33300000</v>
      </c>
      <c r="F332" s="9">
        <f>F329+F331</f>
        <v>36900000</v>
      </c>
    </row>
    <row r="333" spans="2:6" x14ac:dyDescent="0.3">
      <c r="B333" s="15" t="s">
        <v>122</v>
      </c>
      <c r="C333" s="2"/>
      <c r="D333" s="2"/>
      <c r="E333" s="2"/>
      <c r="F333" s="2"/>
    </row>
    <row r="334" spans="2:6" x14ac:dyDescent="0.3">
      <c r="B334" s="2" t="s">
        <v>693</v>
      </c>
      <c r="C334" s="135">
        <v>0.55000000000000004</v>
      </c>
      <c r="D334" s="135">
        <v>0.55000000000000004</v>
      </c>
      <c r="E334" s="135">
        <v>0.55000000000000004</v>
      </c>
      <c r="F334" s="135">
        <v>0.55000000000000004</v>
      </c>
    </row>
    <row r="335" spans="2:6" x14ac:dyDescent="0.3">
      <c r="B335" s="2" t="s">
        <v>111</v>
      </c>
      <c r="C335" s="2">
        <f>C324*C334</f>
        <v>2200</v>
      </c>
      <c r="D335" s="2">
        <f>D324*D334</f>
        <v>2200</v>
      </c>
      <c r="E335" s="2">
        <f>E324*E334</f>
        <v>2200</v>
      </c>
      <c r="F335" s="2">
        <f>F324*F334</f>
        <v>2200</v>
      </c>
    </row>
    <row r="336" spans="2:6" x14ac:dyDescent="0.3">
      <c r="B336" s="2" t="s">
        <v>48</v>
      </c>
      <c r="C336" s="5">
        <v>0.9</v>
      </c>
      <c r="D336" s="5">
        <v>0.9</v>
      </c>
      <c r="E336" s="5">
        <v>0.9</v>
      </c>
      <c r="F336" s="5">
        <v>0.9</v>
      </c>
    </row>
    <row r="337" spans="2:6" x14ac:dyDescent="0.3">
      <c r="B337" s="2" t="s">
        <v>694</v>
      </c>
      <c r="C337" s="2">
        <f>C335*C336</f>
        <v>1980</v>
      </c>
      <c r="D337" s="2">
        <f t="shared" ref="D337:F337" si="17">D335*D336</f>
        <v>1980</v>
      </c>
      <c r="E337" s="2">
        <f t="shared" si="17"/>
        <v>1980</v>
      </c>
      <c r="F337" s="2">
        <f t="shared" si="17"/>
        <v>1980</v>
      </c>
    </row>
    <row r="338" spans="2:6" x14ac:dyDescent="0.3">
      <c r="B338" s="2" t="s">
        <v>114</v>
      </c>
      <c r="C338" s="2">
        <v>25000</v>
      </c>
      <c r="D338" s="2">
        <v>25000</v>
      </c>
      <c r="E338" s="2">
        <v>25000</v>
      </c>
      <c r="F338" s="2">
        <v>25000</v>
      </c>
    </row>
    <row r="339" spans="2:6" x14ac:dyDescent="0.3">
      <c r="B339" s="2" t="s">
        <v>49</v>
      </c>
      <c r="C339" s="2">
        <f>C337*C338</f>
        <v>49500000</v>
      </c>
      <c r="D339" s="2">
        <f t="shared" ref="D339:F339" si="18">D337*D338</f>
        <v>49500000</v>
      </c>
      <c r="E339" s="2">
        <f t="shared" si="18"/>
        <v>49500000</v>
      </c>
      <c r="F339" s="2">
        <f t="shared" si="18"/>
        <v>49500000</v>
      </c>
    </row>
    <row r="340" spans="2:6" x14ac:dyDescent="0.3">
      <c r="B340" s="2" t="s">
        <v>695</v>
      </c>
      <c r="C340" s="2">
        <v>5500</v>
      </c>
      <c r="D340" s="2">
        <v>5500</v>
      </c>
      <c r="E340" s="2">
        <v>5500</v>
      </c>
      <c r="F340" s="2">
        <v>5500</v>
      </c>
    </row>
    <row r="341" spans="2:6" x14ac:dyDescent="0.3">
      <c r="B341" s="2" t="s">
        <v>115</v>
      </c>
      <c r="C341" s="2">
        <f>C337*C340</f>
        <v>10890000</v>
      </c>
      <c r="D341" s="2">
        <f t="shared" ref="D341:F341" si="19">D337*D340</f>
        <v>10890000</v>
      </c>
      <c r="E341" s="2">
        <f t="shared" si="19"/>
        <v>10890000</v>
      </c>
      <c r="F341" s="2">
        <f t="shared" si="19"/>
        <v>10890000</v>
      </c>
    </row>
    <row r="342" spans="2:6" x14ac:dyDescent="0.3">
      <c r="B342" s="9" t="s">
        <v>116</v>
      </c>
      <c r="C342" s="9">
        <f>C339+C341</f>
        <v>60390000</v>
      </c>
      <c r="D342" s="9">
        <f t="shared" ref="D342:F342" si="20">D339+D341</f>
        <v>60390000</v>
      </c>
      <c r="E342" s="9">
        <f t="shared" si="20"/>
        <v>60390000</v>
      </c>
      <c r="F342" s="9">
        <f t="shared" si="20"/>
        <v>60390000</v>
      </c>
    </row>
    <row r="343" spans="2:6" x14ac:dyDescent="0.3">
      <c r="B343" s="87" t="s">
        <v>411</v>
      </c>
      <c r="C343" s="88">
        <f>C332+C342</f>
        <v>88290000</v>
      </c>
      <c r="D343" s="88">
        <f t="shared" ref="D343:F343" si="21">D332+D342</f>
        <v>90090000</v>
      </c>
      <c r="E343" s="88">
        <f t="shared" si="21"/>
        <v>93690000</v>
      </c>
      <c r="F343" s="88">
        <f t="shared" si="21"/>
        <v>97290000</v>
      </c>
    </row>
    <row r="344" spans="2:6" x14ac:dyDescent="0.3">
      <c r="B344" s="2" t="s">
        <v>118</v>
      </c>
      <c r="C344" s="2">
        <v>8000</v>
      </c>
      <c r="D344" s="2">
        <v>8000</v>
      </c>
      <c r="E344" s="2">
        <v>8000</v>
      </c>
      <c r="F344" s="2">
        <v>8000</v>
      </c>
    </row>
    <row r="345" spans="2:6" x14ac:dyDescent="0.3">
      <c r="B345" s="2" t="s">
        <v>119</v>
      </c>
      <c r="C345" s="2">
        <f>C323*C344</f>
        <v>40000000</v>
      </c>
      <c r="D345" s="2">
        <f t="shared" ref="D345:F345" si="22">D323*D344</f>
        <v>40000000</v>
      </c>
      <c r="E345" s="2">
        <f t="shared" si="22"/>
        <v>40000000</v>
      </c>
      <c r="F345" s="2">
        <f t="shared" si="22"/>
        <v>40000000</v>
      </c>
    </row>
    <row r="346" spans="2:6" x14ac:dyDescent="0.3">
      <c r="B346" s="2" t="s">
        <v>55</v>
      </c>
      <c r="C346" s="2">
        <f>C343-C345</f>
        <v>48290000</v>
      </c>
      <c r="D346" s="2">
        <f t="shared" ref="D346:F346" si="23">D343-D345</f>
        <v>50090000</v>
      </c>
      <c r="E346" s="2">
        <f t="shared" si="23"/>
        <v>53690000</v>
      </c>
      <c r="F346" s="2">
        <f t="shared" si="23"/>
        <v>57290000</v>
      </c>
    </row>
    <row r="347" spans="2:6" x14ac:dyDescent="0.3">
      <c r="B347" s="2" t="s">
        <v>120</v>
      </c>
      <c r="C347" s="2"/>
      <c r="D347" s="2"/>
      <c r="E347" s="2"/>
      <c r="F347" s="5">
        <v>0.11</v>
      </c>
    </row>
    <row r="348" spans="2:6" x14ac:dyDescent="0.3">
      <c r="B348" s="2" t="s">
        <v>15</v>
      </c>
      <c r="C348" s="2"/>
      <c r="D348" s="2"/>
      <c r="E348" s="2"/>
      <c r="F348" s="2">
        <f>F346/F347</f>
        <v>520818181.81818181</v>
      </c>
    </row>
    <row r="349" spans="2:6" x14ac:dyDescent="0.3">
      <c r="B349" s="2" t="s">
        <v>121</v>
      </c>
      <c r="C349" s="2">
        <f>C346</f>
        <v>48290000</v>
      </c>
      <c r="D349" s="2">
        <f>D346</f>
        <v>50090000</v>
      </c>
      <c r="E349" s="2">
        <f>E346+F348</f>
        <v>574508181.81818175</v>
      </c>
      <c r="F349" s="2"/>
    </row>
    <row r="350" spans="2:6" x14ac:dyDescent="0.3">
      <c r="B350" s="2" t="s">
        <v>16</v>
      </c>
      <c r="C350" s="5">
        <v>0.16</v>
      </c>
      <c r="D350" s="5">
        <v>0.16</v>
      </c>
      <c r="E350" s="5">
        <v>0.16</v>
      </c>
      <c r="F350" s="5"/>
    </row>
    <row r="351" spans="2:6" x14ac:dyDescent="0.3">
      <c r="B351" s="2" t="s">
        <v>17</v>
      </c>
      <c r="C351" s="2">
        <f>C349/(1+C350)^C322</f>
        <v>41629310.344827592</v>
      </c>
      <c r="D351" s="2">
        <f t="shared" ref="D351:E351" si="24">D349/(1+D350)^D322</f>
        <v>37225029.726516053</v>
      </c>
      <c r="E351" s="2">
        <f t="shared" si="24"/>
        <v>368063075.19410765</v>
      </c>
      <c r="F351" s="2"/>
    </row>
    <row r="352" spans="2:6" x14ac:dyDescent="0.3">
      <c r="B352" s="2" t="s">
        <v>80</v>
      </c>
      <c r="C352" s="82">
        <f>C351+D351+E351</f>
        <v>446917415.26545131</v>
      </c>
      <c r="D352" s="2"/>
      <c r="E352" s="2"/>
      <c r="F352" s="2"/>
    </row>
    <row r="354" spans="2:10" ht="19.5" thickBot="1" x14ac:dyDescent="0.35"/>
    <row r="355" spans="2:10" ht="154.5" customHeight="1" thickBot="1" x14ac:dyDescent="0.35">
      <c r="B355" s="161" t="s">
        <v>696</v>
      </c>
      <c r="C355" s="162"/>
      <c r="D355" s="162"/>
      <c r="E355" s="162"/>
      <c r="F355" s="162"/>
      <c r="G355" s="162"/>
      <c r="H355" s="162"/>
      <c r="I355" s="162"/>
      <c r="J355" s="163"/>
    </row>
    <row r="358" spans="2:10" x14ac:dyDescent="0.3">
      <c r="B358" s="2" t="s">
        <v>0</v>
      </c>
      <c r="C358" s="16">
        <v>1</v>
      </c>
      <c r="D358" s="16">
        <v>2</v>
      </c>
      <c r="E358" s="16">
        <v>3</v>
      </c>
      <c r="F358" s="17" t="s">
        <v>1</v>
      </c>
    </row>
    <row r="359" spans="2:10" x14ac:dyDescent="0.3">
      <c r="B359" s="2" t="s">
        <v>46</v>
      </c>
      <c r="C359" s="2">
        <f>-380000000/2</f>
        <v>-190000000</v>
      </c>
      <c r="D359" s="2">
        <f>-380000000/2</f>
        <v>-190000000</v>
      </c>
      <c r="E359" s="2"/>
      <c r="F359" s="2"/>
    </row>
    <row r="360" spans="2:10" x14ac:dyDescent="0.3">
      <c r="B360" s="2" t="s">
        <v>3</v>
      </c>
      <c r="C360" s="2"/>
      <c r="D360" s="2"/>
      <c r="E360" s="2">
        <v>4000</v>
      </c>
      <c r="F360" s="2"/>
    </row>
    <row r="361" spans="2:10" x14ac:dyDescent="0.3">
      <c r="B361" s="2" t="s">
        <v>47</v>
      </c>
      <c r="C361" s="2"/>
      <c r="D361" s="2"/>
      <c r="E361" s="2">
        <v>25000</v>
      </c>
      <c r="F361" s="2"/>
    </row>
    <row r="362" spans="2:10" x14ac:dyDescent="0.3">
      <c r="B362" s="2" t="s">
        <v>48</v>
      </c>
      <c r="C362" s="2"/>
      <c r="D362" s="2"/>
      <c r="E362" s="5">
        <v>0.85</v>
      </c>
      <c r="F362" s="5"/>
    </row>
    <row r="363" spans="2:10" x14ac:dyDescent="0.3">
      <c r="B363" s="2" t="s">
        <v>49</v>
      </c>
      <c r="C363" s="2"/>
      <c r="D363" s="2"/>
      <c r="E363" s="2">
        <f>E360*E361*E362</f>
        <v>85000000</v>
      </c>
      <c r="F363" s="2"/>
    </row>
    <row r="364" spans="2:10" x14ac:dyDescent="0.3">
      <c r="B364" s="2" t="s">
        <v>14</v>
      </c>
      <c r="C364" s="2"/>
      <c r="D364" s="2"/>
      <c r="E364" s="2"/>
      <c r="F364" s="5"/>
    </row>
    <row r="365" spans="2:10" x14ac:dyDescent="0.3">
      <c r="B365" s="2" t="s">
        <v>15</v>
      </c>
      <c r="C365" s="2"/>
      <c r="D365" s="2"/>
      <c r="E365" s="2"/>
      <c r="F365" s="2"/>
    </row>
    <row r="366" spans="2:10" x14ac:dyDescent="0.3">
      <c r="B366" s="2" t="s">
        <v>50</v>
      </c>
      <c r="C366" s="2">
        <f>C359</f>
        <v>-190000000</v>
      </c>
      <c r="D366" s="2">
        <f>D359</f>
        <v>-190000000</v>
      </c>
      <c r="E366" s="2">
        <f>E363</f>
        <v>85000000</v>
      </c>
      <c r="F366" s="9">
        <f>115000*5000</f>
        <v>575000000</v>
      </c>
    </row>
    <row r="367" spans="2:10" x14ac:dyDescent="0.3">
      <c r="B367" s="2" t="s">
        <v>16</v>
      </c>
      <c r="C367" s="5">
        <v>0.22</v>
      </c>
      <c r="D367" s="5">
        <v>0.22</v>
      </c>
      <c r="E367" s="5">
        <v>0.17</v>
      </c>
      <c r="F367" s="2"/>
    </row>
    <row r="368" spans="2:10" x14ac:dyDescent="0.3">
      <c r="B368" s="2" t="s">
        <v>54</v>
      </c>
      <c r="C368" s="18">
        <f>1/(1+C367)</f>
        <v>0.81967213114754101</v>
      </c>
      <c r="D368" s="18">
        <f>1/(1+D367)</f>
        <v>0.81967213114754101</v>
      </c>
      <c r="E368" s="18">
        <f>1/(1+E367)</f>
        <v>0.85470085470085477</v>
      </c>
      <c r="F368" s="2"/>
    </row>
    <row r="369" spans="2:10" x14ac:dyDescent="0.3">
      <c r="B369" s="2" t="s">
        <v>51</v>
      </c>
      <c r="C369" s="18">
        <f>C368</f>
        <v>0.81967213114754101</v>
      </c>
      <c r="D369" s="18">
        <f>C368*D368</f>
        <v>0.67186240257995167</v>
      </c>
      <c r="E369" s="18">
        <f>C368*D368*E368</f>
        <v>0.57424136972645445</v>
      </c>
      <c r="F369" s="18">
        <f>E369</f>
        <v>0.57424136972645445</v>
      </c>
    </row>
    <row r="370" spans="2:10" x14ac:dyDescent="0.3">
      <c r="B370" s="2" t="s">
        <v>52</v>
      </c>
      <c r="C370" s="2">
        <f>C366*C369</f>
        <v>-155737704.9180328</v>
      </c>
      <c r="D370" s="2">
        <f>D366*D369</f>
        <v>-127653856.49019082</v>
      </c>
      <c r="E370" s="2">
        <f>E366*E369</f>
        <v>48810516.426748626</v>
      </c>
      <c r="F370" s="2">
        <f>F366*F369</f>
        <v>330188787.59271133</v>
      </c>
    </row>
    <row r="371" spans="2:10" x14ac:dyDescent="0.3">
      <c r="B371" s="2" t="s">
        <v>53</v>
      </c>
      <c r="C371" s="82">
        <f>C370+D370+E370+F370</f>
        <v>95607742.611236334</v>
      </c>
      <c r="D371" s="2"/>
      <c r="E371" s="2"/>
      <c r="F371" s="2"/>
    </row>
    <row r="373" spans="2:10" ht="19.5" thickBot="1" x14ac:dyDescent="0.35"/>
    <row r="374" spans="2:10" ht="153" customHeight="1" thickBot="1" x14ac:dyDescent="0.35">
      <c r="B374" s="161" t="s">
        <v>697</v>
      </c>
      <c r="C374" s="162"/>
      <c r="D374" s="162"/>
      <c r="E374" s="162"/>
      <c r="F374" s="162"/>
      <c r="G374" s="162"/>
      <c r="H374" s="162"/>
      <c r="I374" s="162"/>
      <c r="J374" s="163"/>
    </row>
    <row r="377" spans="2:10" x14ac:dyDescent="0.3">
      <c r="B377" s="2" t="s">
        <v>0</v>
      </c>
      <c r="C377" s="16">
        <v>1</v>
      </c>
      <c r="D377" s="16">
        <v>2</v>
      </c>
      <c r="E377" s="16">
        <v>3</v>
      </c>
      <c r="F377" s="17" t="s">
        <v>1</v>
      </c>
    </row>
    <row r="378" spans="2:10" x14ac:dyDescent="0.3">
      <c r="B378" s="2" t="s">
        <v>46</v>
      </c>
      <c r="C378" s="2">
        <f>-380000000/2</f>
        <v>-190000000</v>
      </c>
      <c r="D378" s="2">
        <f>-380000000/2</f>
        <v>-190000000</v>
      </c>
      <c r="E378" s="2"/>
      <c r="F378" s="2"/>
    </row>
    <row r="379" spans="2:10" x14ac:dyDescent="0.3">
      <c r="B379" s="2" t="s">
        <v>3</v>
      </c>
      <c r="C379" s="2"/>
      <c r="D379" s="2"/>
      <c r="E379" s="2">
        <v>4000</v>
      </c>
      <c r="F379" s="2"/>
    </row>
    <row r="380" spans="2:10" x14ac:dyDescent="0.3">
      <c r="B380" s="2" t="s">
        <v>47</v>
      </c>
      <c r="C380" s="2"/>
      <c r="D380" s="2"/>
      <c r="E380" s="2">
        <v>25000</v>
      </c>
      <c r="F380" s="2"/>
    </row>
    <row r="381" spans="2:10" x14ac:dyDescent="0.3">
      <c r="B381" s="2" t="s">
        <v>492</v>
      </c>
      <c r="C381" s="2"/>
      <c r="D381" s="2"/>
      <c r="E381" s="5">
        <v>0.3</v>
      </c>
      <c r="F381" s="5"/>
    </row>
    <row r="382" spans="2:10" x14ac:dyDescent="0.3">
      <c r="B382" s="2" t="s">
        <v>49</v>
      </c>
      <c r="C382" s="2"/>
      <c r="D382" s="2"/>
      <c r="E382" s="2">
        <f>E379*E380*(1-E381)</f>
        <v>70000000</v>
      </c>
      <c r="F382" s="2"/>
    </row>
    <row r="383" spans="2:10" x14ac:dyDescent="0.3">
      <c r="B383" s="2" t="s">
        <v>14</v>
      </c>
      <c r="C383" s="2"/>
      <c r="D383" s="2"/>
      <c r="E383" s="2"/>
      <c r="F383" s="5"/>
    </row>
    <row r="384" spans="2:10" x14ac:dyDescent="0.3">
      <c r="B384" s="2" t="s">
        <v>15</v>
      </c>
      <c r="C384" s="2"/>
      <c r="D384" s="2"/>
      <c r="E384" s="2"/>
      <c r="F384" s="2"/>
    </row>
    <row r="385" spans="2:10" x14ac:dyDescent="0.3">
      <c r="B385" s="2" t="s">
        <v>50</v>
      </c>
      <c r="C385" s="2">
        <f>C378</f>
        <v>-190000000</v>
      </c>
      <c r="D385" s="2">
        <f>D378</f>
        <v>-190000000</v>
      </c>
      <c r="E385" s="2">
        <f>E382</f>
        <v>70000000</v>
      </c>
      <c r="F385" s="9">
        <f>115000*5000</f>
        <v>575000000</v>
      </c>
    </row>
    <row r="386" spans="2:10" x14ac:dyDescent="0.3">
      <c r="B386" s="2" t="s">
        <v>16</v>
      </c>
      <c r="C386" s="5">
        <v>0.22</v>
      </c>
      <c r="D386" s="5">
        <v>0.22</v>
      </c>
      <c r="E386" s="5">
        <v>0.17</v>
      </c>
      <c r="F386" s="2"/>
    </row>
    <row r="387" spans="2:10" x14ac:dyDescent="0.3">
      <c r="B387" s="2" t="s">
        <v>54</v>
      </c>
      <c r="C387" s="18">
        <f>1/(1+C386)</f>
        <v>0.81967213114754101</v>
      </c>
      <c r="D387" s="18">
        <f>1/(1+D386)</f>
        <v>0.81967213114754101</v>
      </c>
      <c r="E387" s="18">
        <f>1/(1+E386)</f>
        <v>0.85470085470085477</v>
      </c>
      <c r="F387" s="2"/>
    </row>
    <row r="388" spans="2:10" x14ac:dyDescent="0.3">
      <c r="B388" s="2" t="s">
        <v>51</v>
      </c>
      <c r="C388" s="18">
        <f>C387</f>
        <v>0.81967213114754101</v>
      </c>
      <c r="D388" s="18">
        <f>C387*D387</f>
        <v>0.67186240257995167</v>
      </c>
      <c r="E388" s="18">
        <f>C387*D387*E387</f>
        <v>0.57424136972645445</v>
      </c>
      <c r="F388" s="18">
        <f>E388</f>
        <v>0.57424136972645445</v>
      </c>
    </row>
    <row r="389" spans="2:10" x14ac:dyDescent="0.3">
      <c r="B389" s="2" t="s">
        <v>52</v>
      </c>
      <c r="C389" s="2">
        <f>C385*C388</f>
        <v>-155737704.9180328</v>
      </c>
      <c r="D389" s="2">
        <f>D385*D388</f>
        <v>-127653856.49019082</v>
      </c>
      <c r="E389" s="2">
        <f>E385*E388</f>
        <v>40196895.880851813</v>
      </c>
      <c r="F389" s="2">
        <f>F385*F388</f>
        <v>330188787.59271133</v>
      </c>
      <c r="G389" s="83">
        <f>SUM(C389:F389)</f>
        <v>86994122.065339506</v>
      </c>
    </row>
    <row r="390" spans="2:10" x14ac:dyDescent="0.3">
      <c r="B390" s="2" t="s">
        <v>53</v>
      </c>
      <c r="C390" s="82">
        <f>C389+D389+E389+F389</f>
        <v>86994122.065339506</v>
      </c>
      <c r="D390" s="2"/>
      <c r="E390" s="2"/>
      <c r="F390" s="2"/>
    </row>
    <row r="392" spans="2:10" ht="19.5" thickBot="1" x14ac:dyDescent="0.35"/>
    <row r="393" spans="2:10" ht="60.75" customHeight="1" thickBot="1" x14ac:dyDescent="0.35">
      <c r="B393" s="161" t="s">
        <v>531</v>
      </c>
      <c r="C393" s="162"/>
      <c r="D393" s="162"/>
      <c r="E393" s="162"/>
      <c r="F393" s="162"/>
      <c r="G393" s="162"/>
      <c r="H393" s="162"/>
      <c r="I393" s="162"/>
      <c r="J393" s="163"/>
    </row>
    <row r="395" spans="2:10" x14ac:dyDescent="0.3">
      <c r="B395" s="2" t="s">
        <v>0</v>
      </c>
      <c r="C395" s="3">
        <v>0</v>
      </c>
      <c r="D395" s="3">
        <v>1</v>
      </c>
      <c r="E395" s="3">
        <v>2</v>
      </c>
    </row>
    <row r="396" spans="2:10" x14ac:dyDescent="0.3">
      <c r="B396" s="2" t="s">
        <v>123</v>
      </c>
      <c r="C396" s="2"/>
      <c r="D396" s="2">
        <v>1000000</v>
      </c>
      <c r="E396" s="2">
        <v>2000000</v>
      </c>
    </row>
    <row r="397" spans="2:10" x14ac:dyDescent="0.3">
      <c r="B397" s="2" t="s">
        <v>124</v>
      </c>
      <c r="C397" s="2">
        <v>-200000</v>
      </c>
      <c r="D397" s="2">
        <v>-1000000</v>
      </c>
      <c r="E397" s="2"/>
    </row>
    <row r="398" spans="2:10" x14ac:dyDescent="0.3">
      <c r="B398" s="2" t="s">
        <v>50</v>
      </c>
      <c r="C398" s="2">
        <f>C396+C397</f>
        <v>-200000</v>
      </c>
      <c r="D398" s="2">
        <f>D396+D397</f>
        <v>0</v>
      </c>
      <c r="E398" s="2">
        <f>E396+E397</f>
        <v>2000000</v>
      </c>
    </row>
    <row r="399" spans="2:10" x14ac:dyDescent="0.3">
      <c r="B399" s="2" t="s">
        <v>16</v>
      </c>
      <c r="C399" s="5">
        <v>0.1</v>
      </c>
      <c r="D399" s="5">
        <v>0.1</v>
      </c>
      <c r="E399" s="5">
        <v>0.1</v>
      </c>
    </row>
    <row r="400" spans="2:10" x14ac:dyDescent="0.3">
      <c r="B400" s="2" t="s">
        <v>17</v>
      </c>
      <c r="C400" s="2">
        <f>C398/(1+C399)^C395</f>
        <v>-200000</v>
      </c>
      <c r="D400" s="2">
        <f t="shared" ref="D400:E400" si="25">D398/(1+D399)^D395</f>
        <v>0</v>
      </c>
      <c r="E400" s="2">
        <f t="shared" si="25"/>
        <v>1652892.5619834708</v>
      </c>
    </row>
    <row r="401" spans="2:10" x14ac:dyDescent="0.3">
      <c r="B401" s="2" t="s">
        <v>125</v>
      </c>
      <c r="C401" s="82">
        <f>C400+D400+E400</f>
        <v>1452892.5619834708</v>
      </c>
      <c r="D401" s="2"/>
      <c r="E401" s="2"/>
    </row>
    <row r="403" spans="2:10" ht="19.5" thickBot="1" x14ac:dyDescent="0.35"/>
    <row r="404" spans="2:10" ht="60" customHeight="1" thickBot="1" x14ac:dyDescent="0.35">
      <c r="B404" s="161" t="s">
        <v>126</v>
      </c>
      <c r="C404" s="162"/>
      <c r="D404" s="162"/>
      <c r="E404" s="162"/>
      <c r="F404" s="162"/>
      <c r="G404" s="162"/>
      <c r="H404" s="162"/>
      <c r="I404" s="162"/>
      <c r="J404" s="163"/>
    </row>
    <row r="406" spans="2:10" x14ac:dyDescent="0.3">
      <c r="B406" s="2" t="s">
        <v>127</v>
      </c>
      <c r="C406" s="2">
        <v>3000000</v>
      </c>
    </row>
    <row r="407" spans="2:10" x14ac:dyDescent="0.3">
      <c r="B407" s="2" t="s">
        <v>16</v>
      </c>
      <c r="C407" s="5">
        <v>0.18</v>
      </c>
    </row>
    <row r="408" spans="2:10" x14ac:dyDescent="0.3">
      <c r="B408" s="2" t="s">
        <v>109</v>
      </c>
      <c r="C408" s="2">
        <v>25</v>
      </c>
    </row>
    <row r="409" spans="2:10" x14ac:dyDescent="0.3">
      <c r="B409" s="2" t="s">
        <v>31</v>
      </c>
      <c r="C409" s="2">
        <v>700000</v>
      </c>
    </row>
    <row r="410" spans="2:10" x14ac:dyDescent="0.3">
      <c r="B410" s="14" t="s">
        <v>35</v>
      </c>
      <c r="C410" s="2"/>
    </row>
    <row r="411" spans="2:10" x14ac:dyDescent="0.3">
      <c r="B411" s="2" t="s">
        <v>29</v>
      </c>
      <c r="C411" s="5">
        <f>1/C408</f>
        <v>0.04</v>
      </c>
    </row>
    <row r="412" spans="2:10" x14ac:dyDescent="0.3">
      <c r="B412" s="2" t="s">
        <v>128</v>
      </c>
      <c r="C412" s="5">
        <f>C407+C411</f>
        <v>0.22</v>
      </c>
    </row>
    <row r="413" spans="2:10" x14ac:dyDescent="0.3">
      <c r="B413" s="2" t="s">
        <v>129</v>
      </c>
      <c r="C413" s="2">
        <f>C406*C412</f>
        <v>660000</v>
      </c>
    </row>
    <row r="414" spans="2:10" x14ac:dyDescent="0.3">
      <c r="B414" s="2" t="s">
        <v>84</v>
      </c>
      <c r="C414" s="2">
        <f>C409-C413</f>
        <v>40000</v>
      </c>
    </row>
    <row r="415" spans="2:10" x14ac:dyDescent="0.3">
      <c r="B415" s="2" t="s">
        <v>45</v>
      </c>
      <c r="C415" s="84">
        <f>C414/C407</f>
        <v>222222.22222222222</v>
      </c>
    </row>
    <row r="417" spans="2:10" ht="19.5" thickBot="1" x14ac:dyDescent="0.35"/>
    <row r="418" spans="2:10" ht="144" customHeight="1" thickBot="1" x14ac:dyDescent="0.35">
      <c r="B418" s="161" t="s">
        <v>698</v>
      </c>
      <c r="C418" s="162"/>
      <c r="D418" s="162"/>
      <c r="E418" s="162"/>
      <c r="F418" s="162"/>
      <c r="G418" s="162"/>
      <c r="H418" s="162"/>
      <c r="I418" s="162"/>
      <c r="J418" s="163"/>
    </row>
    <row r="420" spans="2:10" x14ac:dyDescent="0.3">
      <c r="B420" s="2" t="s">
        <v>0</v>
      </c>
      <c r="C420" s="73">
        <v>1</v>
      </c>
      <c r="D420" s="73">
        <v>2</v>
      </c>
      <c r="E420" s="73">
        <v>3</v>
      </c>
      <c r="F420" s="73">
        <v>3</v>
      </c>
    </row>
    <row r="421" spans="2:10" x14ac:dyDescent="0.3">
      <c r="B421" s="2" t="s">
        <v>46</v>
      </c>
      <c r="C421" s="2">
        <f>-380000000/2</f>
        <v>-190000000</v>
      </c>
      <c r="D421" s="2">
        <f>-380000000/2</f>
        <v>-190000000</v>
      </c>
      <c r="E421" s="2"/>
      <c r="F421" s="2"/>
    </row>
    <row r="422" spans="2:10" x14ac:dyDescent="0.3">
      <c r="B422" s="2" t="s">
        <v>3</v>
      </c>
      <c r="C422" s="2"/>
      <c r="D422" s="2"/>
      <c r="E422" s="2">
        <v>4000</v>
      </c>
      <c r="F422" s="2"/>
    </row>
    <row r="423" spans="2:10" x14ac:dyDescent="0.3">
      <c r="B423" s="2" t="s">
        <v>600</v>
      </c>
      <c r="C423" s="2"/>
      <c r="D423" s="2"/>
      <c r="E423" s="2">
        <v>25000</v>
      </c>
      <c r="F423" s="2"/>
    </row>
    <row r="424" spans="2:10" x14ac:dyDescent="0.3">
      <c r="B424" s="2" t="s">
        <v>19</v>
      </c>
      <c r="C424" s="2"/>
      <c r="D424" s="2"/>
      <c r="E424" s="2">
        <f>E422*E423</f>
        <v>100000000</v>
      </c>
      <c r="F424" s="2"/>
    </row>
    <row r="425" spans="2:10" x14ac:dyDescent="0.3">
      <c r="B425" s="2" t="s">
        <v>48</v>
      </c>
      <c r="C425" s="2"/>
      <c r="D425" s="2"/>
      <c r="E425" s="95">
        <v>0.85</v>
      </c>
      <c r="F425" s="2"/>
    </row>
    <row r="426" spans="2:10" x14ac:dyDescent="0.3">
      <c r="B426" s="2" t="s">
        <v>89</v>
      </c>
      <c r="C426" s="2">
        <f>C421</f>
        <v>-190000000</v>
      </c>
      <c r="D426" s="2">
        <f>D421</f>
        <v>-190000000</v>
      </c>
      <c r="E426" s="2">
        <f>E424*E425</f>
        <v>85000000</v>
      </c>
      <c r="F426" s="2">
        <f>115000*5000</f>
        <v>575000000</v>
      </c>
    </row>
    <row r="427" spans="2:10" x14ac:dyDescent="0.3">
      <c r="B427" s="2" t="s">
        <v>16</v>
      </c>
      <c r="C427" s="95">
        <v>0.22</v>
      </c>
      <c r="D427" s="95">
        <v>0.22</v>
      </c>
      <c r="E427" s="95">
        <v>0.17</v>
      </c>
      <c r="F427" s="95">
        <v>0.17</v>
      </c>
    </row>
    <row r="428" spans="2:10" x14ac:dyDescent="0.3">
      <c r="B428" s="2" t="s">
        <v>601</v>
      </c>
      <c r="C428" s="18">
        <f>1/(1+C427)</f>
        <v>0.81967213114754101</v>
      </c>
      <c r="D428" s="18">
        <f>1/(1+D427)</f>
        <v>0.81967213114754101</v>
      </c>
      <c r="E428" s="18">
        <f>1/(1+E427)</f>
        <v>0.85470085470085477</v>
      </c>
      <c r="F428" s="18">
        <f>1/(1+F427)</f>
        <v>0.85470085470085477</v>
      </c>
    </row>
    <row r="429" spans="2:10" x14ac:dyDescent="0.3">
      <c r="B429" s="2" t="s">
        <v>602</v>
      </c>
      <c r="C429" s="2">
        <f>C428</f>
        <v>0.81967213114754101</v>
      </c>
      <c r="D429" s="2">
        <f>C428*D428</f>
        <v>0.67186240257995167</v>
      </c>
      <c r="E429" s="2">
        <f>C428*D428*E428</f>
        <v>0.57424136972645445</v>
      </c>
      <c r="F429" s="2">
        <f>E429</f>
        <v>0.57424136972645445</v>
      </c>
    </row>
    <row r="430" spans="2:10" x14ac:dyDescent="0.3">
      <c r="B430" s="2" t="s">
        <v>52</v>
      </c>
      <c r="C430" s="2">
        <f>C426*C429</f>
        <v>-155737704.9180328</v>
      </c>
      <c r="D430" s="2">
        <f>D426*D429</f>
        <v>-127653856.49019082</v>
      </c>
      <c r="E430" s="2">
        <f>E426*E429</f>
        <v>48810516.426748626</v>
      </c>
      <c r="F430" s="2">
        <f>F426*F429</f>
        <v>330188787.59271133</v>
      </c>
      <c r="G430" s="80">
        <f>SUM(C430:F430)</f>
        <v>95607742.611236334</v>
      </c>
    </row>
    <row r="432" spans="2:10" ht="19.5" thickBot="1" x14ac:dyDescent="0.35"/>
    <row r="433" spans="2:10" ht="40.5" customHeight="1" thickBot="1" x14ac:dyDescent="0.35">
      <c r="B433" s="161" t="s">
        <v>604</v>
      </c>
      <c r="C433" s="162"/>
      <c r="D433" s="162"/>
      <c r="E433" s="162"/>
      <c r="F433" s="162"/>
      <c r="G433" s="162"/>
      <c r="H433" s="162"/>
      <c r="I433" s="162"/>
      <c r="J433" s="163"/>
    </row>
    <row r="435" spans="2:10" x14ac:dyDescent="0.3">
      <c r="B435" s="2" t="s">
        <v>49</v>
      </c>
      <c r="C435" s="2">
        <v>2200000</v>
      </c>
    </row>
    <row r="436" spans="2:10" x14ac:dyDescent="0.3">
      <c r="B436" s="2" t="s">
        <v>307</v>
      </c>
      <c r="C436" s="2">
        <v>2500</v>
      </c>
    </row>
    <row r="437" spans="2:10" x14ac:dyDescent="0.3">
      <c r="B437" s="2" t="s">
        <v>2</v>
      </c>
      <c r="C437" s="2">
        <v>200</v>
      </c>
    </row>
    <row r="438" spans="2:10" x14ac:dyDescent="0.3">
      <c r="B438" s="2" t="s">
        <v>188</v>
      </c>
      <c r="C438" s="2">
        <v>0.1</v>
      </c>
    </row>
    <row r="439" spans="2:10" x14ac:dyDescent="0.3">
      <c r="B439" s="14" t="s">
        <v>35</v>
      </c>
      <c r="C439" s="2"/>
    </row>
    <row r="440" spans="2:10" x14ac:dyDescent="0.3">
      <c r="B440" s="2" t="s">
        <v>307</v>
      </c>
      <c r="C440" s="2">
        <f>C436*C437</f>
        <v>500000</v>
      </c>
    </row>
    <row r="441" spans="2:10" x14ac:dyDescent="0.3">
      <c r="B441" s="2" t="s">
        <v>55</v>
      </c>
      <c r="C441" s="2">
        <f>C435-C440</f>
        <v>1700000</v>
      </c>
    </row>
    <row r="442" spans="2:10" x14ac:dyDescent="0.3">
      <c r="B442" s="2" t="s">
        <v>53</v>
      </c>
      <c r="C442" s="82">
        <f>C441/C438</f>
        <v>17000000</v>
      </c>
    </row>
    <row r="444" spans="2:10" ht="19.5" thickBot="1" x14ac:dyDescent="0.35"/>
    <row r="445" spans="2:10" ht="41.25" customHeight="1" thickBot="1" x14ac:dyDescent="0.35">
      <c r="B445" s="161" t="s">
        <v>605</v>
      </c>
      <c r="C445" s="162"/>
      <c r="D445" s="162"/>
      <c r="E445" s="162"/>
      <c r="F445" s="162"/>
      <c r="G445" s="162"/>
      <c r="H445" s="162"/>
      <c r="I445" s="162"/>
      <c r="J445" s="163"/>
    </row>
    <row r="447" spans="2:10" x14ac:dyDescent="0.3">
      <c r="B447" s="2" t="s">
        <v>606</v>
      </c>
      <c r="C447" s="2">
        <v>12000</v>
      </c>
    </row>
    <row r="448" spans="2:10" x14ac:dyDescent="0.3">
      <c r="B448" s="2" t="s">
        <v>48</v>
      </c>
      <c r="C448" s="2">
        <v>0.6</v>
      </c>
    </row>
    <row r="449" spans="2:10" x14ac:dyDescent="0.3">
      <c r="B449" s="2" t="s">
        <v>607</v>
      </c>
      <c r="C449" s="2">
        <v>1100</v>
      </c>
    </row>
    <row r="450" spans="2:10" x14ac:dyDescent="0.3">
      <c r="B450" s="14" t="s">
        <v>35</v>
      </c>
      <c r="C450" s="2"/>
    </row>
    <row r="451" spans="2:10" x14ac:dyDescent="0.3">
      <c r="B451" s="2" t="s">
        <v>49</v>
      </c>
      <c r="C451" s="82">
        <f>C447*C448</f>
        <v>7200</v>
      </c>
    </row>
    <row r="453" spans="2:10" ht="19.5" thickBot="1" x14ac:dyDescent="0.35"/>
    <row r="454" spans="2:10" ht="203.25" customHeight="1" thickBot="1" x14ac:dyDescent="0.35">
      <c r="B454" s="166" t="s">
        <v>608</v>
      </c>
      <c r="C454" s="167"/>
      <c r="D454" s="167"/>
      <c r="E454" s="167"/>
      <c r="F454" s="167"/>
      <c r="G454" s="167"/>
      <c r="H454" s="167"/>
      <c r="I454" s="167"/>
      <c r="J454" s="168"/>
    </row>
    <row r="456" spans="2:10" x14ac:dyDescent="0.3">
      <c r="B456" s="2" t="s">
        <v>0</v>
      </c>
      <c r="C456" s="3">
        <v>1</v>
      </c>
      <c r="D456" s="3">
        <v>2</v>
      </c>
      <c r="E456" s="3">
        <v>3</v>
      </c>
      <c r="F456" s="4" t="s">
        <v>1</v>
      </c>
      <c r="G456" s="2"/>
    </row>
    <row r="457" spans="2:10" x14ac:dyDescent="0.3">
      <c r="B457" s="2" t="s">
        <v>2</v>
      </c>
      <c r="C457" s="2">
        <v>5000</v>
      </c>
      <c r="D457" s="2">
        <v>5000</v>
      </c>
      <c r="E457" s="2">
        <v>5000</v>
      </c>
      <c r="F457" s="2">
        <v>5000</v>
      </c>
      <c r="G457" s="2"/>
    </row>
    <row r="458" spans="2:10" x14ac:dyDescent="0.3">
      <c r="B458" s="2" t="s">
        <v>3</v>
      </c>
      <c r="C458" s="2">
        <v>4000</v>
      </c>
      <c r="D458" s="2">
        <v>4000</v>
      </c>
      <c r="E458" s="2">
        <v>4000</v>
      </c>
      <c r="F458" s="2">
        <v>4000</v>
      </c>
      <c r="G458" s="2"/>
    </row>
    <row r="459" spans="2:10" x14ac:dyDescent="0.3">
      <c r="B459" s="2" t="s">
        <v>4</v>
      </c>
      <c r="C459" s="5">
        <v>0</v>
      </c>
      <c r="D459" s="5">
        <v>0</v>
      </c>
      <c r="E459" s="5">
        <v>0.3</v>
      </c>
      <c r="F459" s="5">
        <v>0.1</v>
      </c>
      <c r="G459" s="2"/>
    </row>
    <row r="460" spans="2:10" x14ac:dyDescent="0.3">
      <c r="B460" s="2" t="s">
        <v>5</v>
      </c>
      <c r="C460" s="2">
        <f>C458*(1-C459)</f>
        <v>4000</v>
      </c>
      <c r="D460" s="2">
        <f t="shared" ref="D460:F460" si="26">D458*(1-D459)</f>
        <v>4000</v>
      </c>
      <c r="E460" s="2">
        <f t="shared" si="26"/>
        <v>2800</v>
      </c>
      <c r="F460" s="2">
        <f t="shared" si="26"/>
        <v>3600</v>
      </c>
      <c r="G460" s="2"/>
    </row>
    <row r="461" spans="2:10" x14ac:dyDescent="0.3">
      <c r="B461" s="2" t="s">
        <v>13</v>
      </c>
      <c r="C461" s="2">
        <v>15000</v>
      </c>
      <c r="D461" s="2">
        <v>15000</v>
      </c>
      <c r="E461" s="2">
        <v>25000</v>
      </c>
      <c r="F461" s="2">
        <v>25000</v>
      </c>
      <c r="G461" s="2"/>
    </row>
    <row r="462" spans="2:10" x14ac:dyDescent="0.3">
      <c r="B462" s="2" t="s">
        <v>7</v>
      </c>
      <c r="C462" s="7">
        <f>C460*C461</f>
        <v>60000000</v>
      </c>
      <c r="D462" s="7">
        <f t="shared" ref="D462:F462" si="27">D460*D461</f>
        <v>60000000</v>
      </c>
      <c r="E462" s="7">
        <f t="shared" si="27"/>
        <v>70000000</v>
      </c>
      <c r="F462" s="7">
        <f t="shared" si="27"/>
        <v>90000000</v>
      </c>
      <c r="G462" s="2"/>
    </row>
    <row r="463" spans="2:10" x14ac:dyDescent="0.3">
      <c r="B463" s="2" t="s">
        <v>12</v>
      </c>
      <c r="C463" s="2">
        <v>5000</v>
      </c>
      <c r="D463" s="2">
        <v>5000</v>
      </c>
      <c r="E463" s="2">
        <v>5000</v>
      </c>
      <c r="F463" s="2">
        <v>5000</v>
      </c>
      <c r="G463" s="2"/>
    </row>
    <row r="464" spans="2:10" x14ac:dyDescent="0.3">
      <c r="B464" s="2" t="s">
        <v>609</v>
      </c>
      <c r="C464" s="7">
        <f>C463*C458</f>
        <v>20000000</v>
      </c>
      <c r="D464" s="7">
        <f>D463*D458</f>
        <v>20000000</v>
      </c>
      <c r="E464" s="7">
        <f>E463*E458</f>
        <v>20000000</v>
      </c>
      <c r="F464" s="7">
        <f>F463*F458</f>
        <v>20000000</v>
      </c>
      <c r="G464" s="2"/>
    </row>
    <row r="465" spans="2:10" x14ac:dyDescent="0.3">
      <c r="B465" s="2" t="s">
        <v>8</v>
      </c>
      <c r="C465" s="7">
        <f>C462+C464</f>
        <v>80000000</v>
      </c>
      <c r="D465" s="7">
        <f t="shared" ref="D465:F465" si="28">D462+D464</f>
        <v>80000000</v>
      </c>
      <c r="E465" s="7">
        <f t="shared" si="28"/>
        <v>90000000</v>
      </c>
      <c r="F465" s="7">
        <f t="shared" si="28"/>
        <v>110000000</v>
      </c>
      <c r="G465" s="2"/>
    </row>
    <row r="466" spans="2:10" x14ac:dyDescent="0.3">
      <c r="B466" s="2" t="s">
        <v>11</v>
      </c>
      <c r="C466" s="2">
        <v>7000</v>
      </c>
      <c r="D466" s="2">
        <v>7000</v>
      </c>
      <c r="E466" s="2">
        <v>7000</v>
      </c>
      <c r="F466" s="2">
        <v>7000</v>
      </c>
      <c r="G466" s="2"/>
    </row>
    <row r="467" spans="2:10" x14ac:dyDescent="0.3">
      <c r="B467" s="2" t="s">
        <v>9</v>
      </c>
      <c r="C467" s="8">
        <f>C466*C457</f>
        <v>35000000</v>
      </c>
      <c r="D467" s="8">
        <f t="shared" ref="D467:F467" si="29">D466*D457</f>
        <v>35000000</v>
      </c>
      <c r="E467" s="8">
        <f t="shared" si="29"/>
        <v>35000000</v>
      </c>
      <c r="F467" s="8">
        <f t="shared" si="29"/>
        <v>35000000</v>
      </c>
      <c r="G467" s="2"/>
    </row>
    <row r="468" spans="2:10" x14ac:dyDescent="0.3">
      <c r="B468" s="2" t="s">
        <v>10</v>
      </c>
      <c r="C468" s="2">
        <f>C465-C467</f>
        <v>45000000</v>
      </c>
      <c r="D468" s="2">
        <f t="shared" ref="D468:F468" si="30">D465-D467</f>
        <v>45000000</v>
      </c>
      <c r="E468" s="2">
        <f t="shared" si="30"/>
        <v>55000000</v>
      </c>
      <c r="F468" s="6">
        <f t="shared" si="30"/>
        <v>75000000</v>
      </c>
      <c r="G468" s="2"/>
    </row>
    <row r="469" spans="2:10" x14ac:dyDescent="0.3">
      <c r="B469" s="2" t="s">
        <v>14</v>
      </c>
      <c r="C469" s="2"/>
      <c r="D469" s="2"/>
      <c r="E469" s="2"/>
      <c r="F469" s="5">
        <v>0.1</v>
      </c>
      <c r="G469" s="2"/>
    </row>
    <row r="470" spans="2:10" x14ac:dyDescent="0.3">
      <c r="B470" s="2" t="s">
        <v>15</v>
      </c>
      <c r="C470" s="2"/>
      <c r="D470" s="2"/>
      <c r="E470" s="2"/>
      <c r="F470" s="2">
        <f>F468/F469</f>
        <v>750000000</v>
      </c>
      <c r="G470" s="2"/>
    </row>
    <row r="471" spans="2:10" x14ac:dyDescent="0.3">
      <c r="B471" s="2" t="s">
        <v>16</v>
      </c>
      <c r="C471" s="5">
        <v>0.16</v>
      </c>
      <c r="D471" s="5">
        <v>0.16</v>
      </c>
      <c r="E471" s="5">
        <v>0.16</v>
      </c>
      <c r="F471" s="5">
        <v>0.16</v>
      </c>
      <c r="G471" s="2"/>
    </row>
    <row r="472" spans="2:10" x14ac:dyDescent="0.3">
      <c r="B472" s="2" t="s">
        <v>17</v>
      </c>
      <c r="C472" s="2">
        <f>C468/(1+C471)^C456</f>
        <v>38793103.448275864</v>
      </c>
      <c r="D472" s="2">
        <f>D468/(1+D471)^D456</f>
        <v>33442330.558858503</v>
      </c>
      <c r="E472" s="2">
        <f>E468/(1+E471)^E456</f>
        <v>35236172.044774286</v>
      </c>
      <c r="F472" s="9">
        <f>F470/(1+F471)^E456</f>
        <v>480493255.15601301</v>
      </c>
      <c r="G472" s="82">
        <f>ROUND(C472+D472+E472+F472,-6)</f>
        <v>588000000</v>
      </c>
    </row>
    <row r="474" spans="2:10" ht="19.5" thickBot="1" x14ac:dyDescent="0.35"/>
    <row r="475" spans="2:10" ht="153.75" customHeight="1" thickBot="1" x14ac:dyDescent="0.35">
      <c r="B475" s="161" t="s">
        <v>830</v>
      </c>
      <c r="C475" s="162"/>
      <c r="D475" s="162"/>
      <c r="E475" s="162"/>
      <c r="F475" s="162"/>
      <c r="G475" s="162"/>
      <c r="H475" s="162"/>
      <c r="I475" s="162"/>
      <c r="J475" s="163"/>
    </row>
    <row r="477" spans="2:10" x14ac:dyDescent="0.3">
      <c r="B477" s="2" t="s">
        <v>0</v>
      </c>
      <c r="C477" s="73">
        <v>1</v>
      </c>
      <c r="D477" s="73">
        <v>2</v>
      </c>
      <c r="E477" s="73">
        <v>3</v>
      </c>
      <c r="F477" s="73">
        <v>3</v>
      </c>
    </row>
    <row r="478" spans="2:10" x14ac:dyDescent="0.3">
      <c r="B478" s="2" t="s">
        <v>46</v>
      </c>
      <c r="C478" s="2">
        <v>-50000000</v>
      </c>
      <c r="D478" s="2">
        <v>-50000000</v>
      </c>
      <c r="E478" s="2"/>
      <c r="F478" s="2"/>
    </row>
    <row r="479" spans="2:10" x14ac:dyDescent="0.3">
      <c r="B479" s="2" t="s">
        <v>3</v>
      </c>
      <c r="C479" s="2"/>
      <c r="D479" s="2"/>
      <c r="E479" s="2">
        <v>4000</v>
      </c>
      <c r="F479" s="2">
        <v>4000</v>
      </c>
    </row>
    <row r="480" spans="2:10" x14ac:dyDescent="0.3">
      <c r="B480" s="2" t="s">
        <v>600</v>
      </c>
      <c r="C480" s="2"/>
      <c r="D480" s="2"/>
      <c r="E480" s="2">
        <v>25000</v>
      </c>
      <c r="F480" s="2">
        <v>25000</v>
      </c>
    </row>
    <row r="481" spans="2:10" x14ac:dyDescent="0.3">
      <c r="B481" s="2" t="s">
        <v>19</v>
      </c>
      <c r="C481" s="2"/>
      <c r="D481" s="2"/>
      <c r="E481" s="2">
        <f>E479*E480</f>
        <v>100000000</v>
      </c>
      <c r="F481" s="2">
        <f>F479*F480</f>
        <v>100000000</v>
      </c>
    </row>
    <row r="482" spans="2:10" x14ac:dyDescent="0.3">
      <c r="B482" s="2" t="s">
        <v>48</v>
      </c>
      <c r="C482" s="2"/>
      <c r="D482" s="2"/>
      <c r="E482" s="95">
        <v>0.7</v>
      </c>
      <c r="F482" s="95">
        <v>0.85</v>
      </c>
    </row>
    <row r="483" spans="2:10" x14ac:dyDescent="0.3">
      <c r="B483" s="2" t="s">
        <v>55</v>
      </c>
      <c r="C483" s="2"/>
      <c r="D483" s="2"/>
      <c r="E483" s="2">
        <f>E481*E482</f>
        <v>70000000</v>
      </c>
      <c r="F483" s="2">
        <f>F481*F482</f>
        <v>85000000</v>
      </c>
    </row>
    <row r="484" spans="2:10" x14ac:dyDescent="0.3">
      <c r="B484" s="2" t="s">
        <v>188</v>
      </c>
      <c r="C484" s="2"/>
      <c r="D484" s="2"/>
      <c r="E484" s="95"/>
      <c r="F484" s="95">
        <v>0.1</v>
      </c>
    </row>
    <row r="485" spans="2:10" x14ac:dyDescent="0.3">
      <c r="B485" s="2" t="s">
        <v>89</v>
      </c>
      <c r="C485" s="2">
        <f>C478</f>
        <v>-50000000</v>
      </c>
      <c r="D485" s="2">
        <f>D478</f>
        <v>-50000000</v>
      </c>
      <c r="E485" s="2">
        <f>E483</f>
        <v>70000000</v>
      </c>
      <c r="F485" s="2">
        <f>F483/F484</f>
        <v>850000000</v>
      </c>
    </row>
    <row r="486" spans="2:10" x14ac:dyDescent="0.3">
      <c r="B486" s="2" t="s">
        <v>16</v>
      </c>
      <c r="C486" s="95">
        <v>0.2</v>
      </c>
      <c r="D486" s="95">
        <v>0.2</v>
      </c>
      <c r="E486" s="95">
        <v>0.16</v>
      </c>
      <c r="F486" s="95">
        <v>0.16</v>
      </c>
    </row>
    <row r="487" spans="2:10" x14ac:dyDescent="0.3">
      <c r="B487" s="2" t="s">
        <v>601</v>
      </c>
      <c r="C487" s="18">
        <f>1/(1+C486)</f>
        <v>0.83333333333333337</v>
      </c>
      <c r="D487" s="18">
        <f>1/(1+D486)</f>
        <v>0.83333333333333337</v>
      </c>
      <c r="E487" s="18">
        <f>1/(1+E486)</f>
        <v>0.86206896551724144</v>
      </c>
      <c r="F487" s="18">
        <f>1/(1+F486)</f>
        <v>0.86206896551724144</v>
      </c>
    </row>
    <row r="488" spans="2:10" x14ac:dyDescent="0.3">
      <c r="B488" s="2" t="s">
        <v>602</v>
      </c>
      <c r="C488" s="2">
        <v>1</v>
      </c>
      <c r="D488" s="2">
        <f>C487*D487</f>
        <v>0.69444444444444453</v>
      </c>
      <c r="E488" s="2">
        <f>D488</f>
        <v>0.69444444444444453</v>
      </c>
      <c r="F488" s="2">
        <f>C487*D487*E487</f>
        <v>0.59865900383141779</v>
      </c>
    </row>
    <row r="489" spans="2:10" x14ac:dyDescent="0.3">
      <c r="B489" s="2" t="s">
        <v>52</v>
      </c>
      <c r="C489" s="2">
        <f>C485*C488</f>
        <v>-50000000</v>
      </c>
      <c r="D489" s="2">
        <f>D485*D488</f>
        <v>-34722222.222222224</v>
      </c>
      <c r="E489" s="2">
        <f>E485*E488</f>
        <v>48611111.111111119</v>
      </c>
      <c r="F489" s="2">
        <f>F485*F488</f>
        <v>508860153.25670511</v>
      </c>
      <c r="G489" s="80">
        <f>SUM(C489:F489)</f>
        <v>472749042.145594</v>
      </c>
    </row>
    <row r="491" spans="2:10" ht="19.5" thickBot="1" x14ac:dyDescent="0.35"/>
    <row r="492" spans="2:10" ht="60" customHeight="1" thickBot="1" x14ac:dyDescent="0.35">
      <c r="B492" s="161" t="s">
        <v>610</v>
      </c>
      <c r="C492" s="162"/>
      <c r="D492" s="162"/>
      <c r="E492" s="162"/>
      <c r="F492" s="162"/>
      <c r="G492" s="162"/>
      <c r="H492" s="162"/>
      <c r="I492" s="162"/>
      <c r="J492" s="163"/>
    </row>
    <row r="494" spans="2:10" x14ac:dyDescent="0.3">
      <c r="B494" s="2" t="s">
        <v>699</v>
      </c>
      <c r="C494" s="2">
        <v>700000</v>
      </c>
    </row>
    <row r="495" spans="2:10" x14ac:dyDescent="0.3">
      <c r="B495" s="2" t="s">
        <v>700</v>
      </c>
      <c r="C495" s="2">
        <v>2500</v>
      </c>
    </row>
    <row r="496" spans="2:10" x14ac:dyDescent="0.3">
      <c r="B496" s="2" t="s">
        <v>2</v>
      </c>
      <c r="C496" s="2">
        <v>1200</v>
      </c>
    </row>
    <row r="497" spans="2:10" x14ac:dyDescent="0.3">
      <c r="B497" s="2" t="s">
        <v>188</v>
      </c>
      <c r="C497" s="2">
        <v>0.1</v>
      </c>
    </row>
    <row r="498" spans="2:10" x14ac:dyDescent="0.3">
      <c r="B498" s="14" t="s">
        <v>35</v>
      </c>
      <c r="C498" s="2"/>
    </row>
    <row r="499" spans="2:10" x14ac:dyDescent="0.3">
      <c r="B499" s="2" t="s">
        <v>49</v>
      </c>
      <c r="C499" s="2">
        <f>C494*12</f>
        <v>8400000</v>
      </c>
    </row>
    <row r="500" spans="2:10" x14ac:dyDescent="0.3">
      <c r="B500" s="2" t="s">
        <v>307</v>
      </c>
      <c r="C500" s="2">
        <f>C495*C496</f>
        <v>3000000</v>
      </c>
    </row>
    <row r="501" spans="2:10" x14ac:dyDescent="0.3">
      <c r="B501" s="2" t="s">
        <v>55</v>
      </c>
      <c r="C501" s="2">
        <f>C499-C500</f>
        <v>5400000</v>
      </c>
    </row>
    <row r="502" spans="2:10" x14ac:dyDescent="0.3">
      <c r="B502" s="2" t="s">
        <v>53</v>
      </c>
      <c r="C502" s="82">
        <f>C501/C497</f>
        <v>54000000</v>
      </c>
    </row>
    <row r="504" spans="2:10" ht="19.5" thickBot="1" x14ac:dyDescent="0.35"/>
    <row r="505" spans="2:10" ht="205.5" customHeight="1" thickBot="1" x14ac:dyDescent="0.35">
      <c r="B505" s="166" t="s">
        <v>611</v>
      </c>
      <c r="C505" s="167"/>
      <c r="D505" s="167"/>
      <c r="E505" s="167"/>
      <c r="F505" s="167"/>
      <c r="G505" s="167"/>
      <c r="H505" s="167"/>
      <c r="I505" s="167"/>
      <c r="J505" s="168"/>
    </row>
    <row r="507" spans="2:10" x14ac:dyDescent="0.3">
      <c r="B507" s="2" t="s">
        <v>0</v>
      </c>
      <c r="C507" s="3">
        <v>1</v>
      </c>
      <c r="D507" s="3">
        <v>2</v>
      </c>
      <c r="E507" s="3">
        <v>3</v>
      </c>
      <c r="F507" s="4" t="s">
        <v>1</v>
      </c>
      <c r="G507" s="2"/>
    </row>
    <row r="508" spans="2:10" x14ac:dyDescent="0.3">
      <c r="B508" s="2" t="s">
        <v>2</v>
      </c>
      <c r="C508" s="2">
        <v>5000</v>
      </c>
      <c r="D508" s="2">
        <v>5000</v>
      </c>
      <c r="E508" s="2">
        <v>5000</v>
      </c>
      <c r="F508" s="2">
        <v>5000</v>
      </c>
      <c r="G508" s="2"/>
    </row>
    <row r="509" spans="2:10" x14ac:dyDescent="0.3">
      <c r="B509" s="2" t="s">
        <v>3</v>
      </c>
      <c r="C509" s="2">
        <v>4000</v>
      </c>
      <c r="D509" s="2">
        <v>4000</v>
      </c>
      <c r="E509" s="2">
        <v>4000</v>
      </c>
      <c r="F509" s="2">
        <v>4000</v>
      </c>
      <c r="G509" s="2"/>
    </row>
    <row r="510" spans="2:10" x14ac:dyDescent="0.3">
      <c r="B510" s="2" t="s">
        <v>4</v>
      </c>
      <c r="C510" s="5">
        <v>0</v>
      </c>
      <c r="D510" s="5">
        <v>0</v>
      </c>
      <c r="E510" s="5">
        <v>0.3</v>
      </c>
      <c r="F510" s="5">
        <v>0.1</v>
      </c>
      <c r="G510" s="2"/>
    </row>
    <row r="511" spans="2:10" x14ac:dyDescent="0.3">
      <c r="B511" s="2" t="s">
        <v>5</v>
      </c>
      <c r="C511" s="2">
        <f>C509*(1-C510)</f>
        <v>4000</v>
      </c>
      <c r="D511" s="2">
        <f t="shared" ref="D511:F511" si="31">D509*(1-D510)</f>
        <v>4000</v>
      </c>
      <c r="E511" s="2">
        <f t="shared" si="31"/>
        <v>2800</v>
      </c>
      <c r="F511" s="2">
        <f t="shared" si="31"/>
        <v>3600</v>
      </c>
      <c r="G511" s="2"/>
    </row>
    <row r="512" spans="2:10" x14ac:dyDescent="0.3">
      <c r="B512" s="2" t="s">
        <v>13</v>
      </c>
      <c r="C512" s="2">
        <v>15000</v>
      </c>
      <c r="D512" s="2">
        <v>15000</v>
      </c>
      <c r="E512" s="2">
        <v>25000</v>
      </c>
      <c r="F512" s="2">
        <v>25000</v>
      </c>
      <c r="G512" s="2"/>
    </row>
    <row r="513" spans="2:10" x14ac:dyDescent="0.3">
      <c r="B513" s="2" t="s">
        <v>7</v>
      </c>
      <c r="C513" s="7">
        <f>C511*C512</f>
        <v>60000000</v>
      </c>
      <c r="D513" s="7">
        <f t="shared" ref="D513:F513" si="32">D511*D512</f>
        <v>60000000</v>
      </c>
      <c r="E513" s="7">
        <f t="shared" si="32"/>
        <v>70000000</v>
      </c>
      <c r="F513" s="7">
        <f t="shared" si="32"/>
        <v>90000000</v>
      </c>
      <c r="G513" s="2"/>
    </row>
    <row r="514" spans="2:10" x14ac:dyDescent="0.3">
      <c r="B514" s="2" t="s">
        <v>12</v>
      </c>
      <c r="C514" s="2">
        <v>5000</v>
      </c>
      <c r="D514" s="2">
        <v>5000</v>
      </c>
      <c r="E514" s="2">
        <v>5000</v>
      </c>
      <c r="F514" s="2">
        <v>5000</v>
      </c>
      <c r="G514" s="2"/>
    </row>
    <row r="515" spans="2:10" x14ac:dyDescent="0.3">
      <c r="B515" s="2" t="s">
        <v>612</v>
      </c>
      <c r="C515" s="7">
        <f>C514*C511</f>
        <v>20000000</v>
      </c>
      <c r="D515" s="7">
        <f>D514*D511</f>
        <v>20000000</v>
      </c>
      <c r="E515" s="7">
        <f>E514*E511</f>
        <v>14000000</v>
      </c>
      <c r="F515" s="7">
        <f>F514*F511</f>
        <v>18000000</v>
      </c>
      <c r="G515" s="2"/>
    </row>
    <row r="516" spans="2:10" x14ac:dyDescent="0.3">
      <c r="B516" s="2" t="s">
        <v>8</v>
      </c>
      <c r="C516" s="7">
        <f>C513+C515</f>
        <v>80000000</v>
      </c>
      <c r="D516" s="7">
        <f t="shared" ref="D516:F516" si="33">D513+D515</f>
        <v>80000000</v>
      </c>
      <c r="E516" s="7">
        <f t="shared" si="33"/>
        <v>84000000</v>
      </c>
      <c r="F516" s="7">
        <f t="shared" si="33"/>
        <v>108000000</v>
      </c>
      <c r="G516" s="2"/>
    </row>
    <row r="517" spans="2:10" x14ac:dyDescent="0.3">
      <c r="B517" s="2" t="s">
        <v>11</v>
      </c>
      <c r="C517" s="2">
        <v>7000</v>
      </c>
      <c r="D517" s="2">
        <v>7000</v>
      </c>
      <c r="E517" s="2">
        <v>7000</v>
      </c>
      <c r="F517" s="2">
        <v>7000</v>
      </c>
      <c r="G517" s="2"/>
    </row>
    <row r="518" spans="2:10" x14ac:dyDescent="0.3">
      <c r="B518" s="2" t="s">
        <v>9</v>
      </c>
      <c r="C518" s="8">
        <f>C517*C508</f>
        <v>35000000</v>
      </c>
      <c r="D518" s="8">
        <f t="shared" ref="D518:F518" si="34">D517*D508</f>
        <v>35000000</v>
      </c>
      <c r="E518" s="8">
        <f t="shared" si="34"/>
        <v>35000000</v>
      </c>
      <c r="F518" s="8">
        <f t="shared" si="34"/>
        <v>35000000</v>
      </c>
      <c r="G518" s="2"/>
    </row>
    <row r="519" spans="2:10" x14ac:dyDescent="0.3">
      <c r="B519" s="2" t="s">
        <v>10</v>
      </c>
      <c r="C519" s="2">
        <f>C516-C518</f>
        <v>45000000</v>
      </c>
      <c r="D519" s="2">
        <f t="shared" ref="D519:F519" si="35">D516-D518</f>
        <v>45000000</v>
      </c>
      <c r="E519" s="2">
        <f t="shared" si="35"/>
        <v>49000000</v>
      </c>
      <c r="F519" s="6">
        <f t="shared" si="35"/>
        <v>73000000</v>
      </c>
      <c r="G519" s="2"/>
    </row>
    <row r="520" spans="2:10" x14ac:dyDescent="0.3">
      <c r="B520" s="2" t="s">
        <v>14</v>
      </c>
      <c r="C520" s="2"/>
      <c r="D520" s="2"/>
      <c r="E520" s="2"/>
      <c r="F520" s="5">
        <v>0.1</v>
      </c>
      <c r="G520" s="2"/>
    </row>
    <row r="521" spans="2:10" x14ac:dyDescent="0.3">
      <c r="B521" s="2" t="s">
        <v>15</v>
      </c>
      <c r="C521" s="2"/>
      <c r="D521" s="2"/>
      <c r="E521" s="2"/>
      <c r="F521" s="2">
        <f>F519/F520</f>
        <v>730000000</v>
      </c>
      <c r="G521" s="2"/>
    </row>
    <row r="522" spans="2:10" x14ac:dyDescent="0.3">
      <c r="B522" s="2" t="s">
        <v>16</v>
      </c>
      <c r="C522" s="5">
        <v>0.16</v>
      </c>
      <c r="D522" s="5">
        <v>0.16</v>
      </c>
      <c r="E522" s="5">
        <v>0.16</v>
      </c>
      <c r="F522" s="5">
        <v>0.16</v>
      </c>
      <c r="G522" s="2"/>
    </row>
    <row r="523" spans="2:10" x14ac:dyDescent="0.3">
      <c r="B523" s="2" t="s">
        <v>17</v>
      </c>
      <c r="C523" s="2">
        <f>C519/(1+C522)^C507</f>
        <v>38793103.448275864</v>
      </c>
      <c r="D523" s="2">
        <f>D519/(1+D522)^D507</f>
        <v>33442330.558858503</v>
      </c>
      <c r="E523" s="2">
        <f>E519/(1+E522)^E507</f>
        <v>31392226.003526185</v>
      </c>
      <c r="F523" s="9">
        <f>F521/(1+F522)^E507</f>
        <v>467680101.68518597</v>
      </c>
      <c r="G523" s="82">
        <f>ROUND(C523+D523+E523+F523,-6)</f>
        <v>571000000</v>
      </c>
    </row>
    <row r="525" spans="2:10" ht="19.5" thickBot="1" x14ac:dyDescent="0.35"/>
    <row r="526" spans="2:10" ht="60.75" customHeight="1" thickBot="1" x14ac:dyDescent="0.35">
      <c r="B526" s="161" t="s">
        <v>852</v>
      </c>
      <c r="C526" s="162"/>
      <c r="D526" s="162"/>
      <c r="E526" s="162"/>
      <c r="F526" s="162"/>
      <c r="G526" s="162"/>
      <c r="H526" s="162"/>
      <c r="I526" s="162"/>
      <c r="J526" s="163"/>
    </row>
    <row r="528" spans="2:10" x14ac:dyDescent="0.3">
      <c r="B528" s="2" t="s">
        <v>19</v>
      </c>
      <c r="C528" s="2">
        <v>40000000</v>
      </c>
      <c r="D528" s="90" t="s">
        <v>585</v>
      </c>
    </row>
    <row r="529" spans="2:10" x14ac:dyDescent="0.3">
      <c r="B529" s="2" t="s">
        <v>49</v>
      </c>
      <c r="C529" s="2">
        <v>36000000</v>
      </c>
      <c r="D529" s="90" t="s">
        <v>585</v>
      </c>
    </row>
    <row r="530" spans="2:10" x14ac:dyDescent="0.3">
      <c r="B530" s="2" t="s">
        <v>55</v>
      </c>
      <c r="C530" s="2">
        <v>24000000</v>
      </c>
    </row>
    <row r="531" spans="2:10" x14ac:dyDescent="0.3">
      <c r="B531" s="2" t="s">
        <v>613</v>
      </c>
      <c r="C531" s="95">
        <v>0.12</v>
      </c>
      <c r="D531" s="90" t="s">
        <v>585</v>
      </c>
    </row>
    <row r="532" spans="2:10" x14ac:dyDescent="0.3">
      <c r="B532" s="2" t="s">
        <v>603</v>
      </c>
      <c r="C532" s="95">
        <v>0.1</v>
      </c>
    </row>
    <row r="533" spans="2:10" x14ac:dyDescent="0.3">
      <c r="B533" s="14" t="s">
        <v>35</v>
      </c>
      <c r="C533" s="2"/>
    </row>
    <row r="534" spans="2:10" x14ac:dyDescent="0.3">
      <c r="B534" s="2" t="s">
        <v>53</v>
      </c>
      <c r="C534" s="82">
        <f>C530/C532</f>
        <v>240000000</v>
      </c>
    </row>
    <row r="537" spans="2:10" ht="19.5" thickBot="1" x14ac:dyDescent="0.35"/>
    <row r="538" spans="2:10" ht="62.25" customHeight="1" thickBot="1" x14ac:dyDescent="0.35">
      <c r="B538" s="161" t="s">
        <v>851</v>
      </c>
      <c r="C538" s="162"/>
      <c r="D538" s="162"/>
      <c r="E538" s="162"/>
      <c r="F538" s="162"/>
      <c r="G538" s="162"/>
      <c r="H538" s="162"/>
      <c r="I538" s="162"/>
      <c r="J538" s="163"/>
    </row>
    <row r="540" spans="2:10" x14ac:dyDescent="0.3">
      <c r="B540" s="2" t="s">
        <v>764</v>
      </c>
      <c r="C540" s="2">
        <v>100000</v>
      </c>
    </row>
    <row r="541" spans="2:10" x14ac:dyDescent="0.3">
      <c r="B541" s="2" t="s">
        <v>761</v>
      </c>
      <c r="C541" s="95">
        <v>0.8</v>
      </c>
    </row>
    <row r="542" spans="2:10" x14ac:dyDescent="0.3">
      <c r="B542" s="2" t="s">
        <v>762</v>
      </c>
      <c r="C542" s="2">
        <v>1000</v>
      </c>
    </row>
    <row r="543" spans="2:10" x14ac:dyDescent="0.3">
      <c r="B543" s="2" t="s">
        <v>110</v>
      </c>
      <c r="C543" s="2">
        <v>100</v>
      </c>
    </row>
    <row r="544" spans="2:10" x14ac:dyDescent="0.3">
      <c r="B544" s="2" t="s">
        <v>30</v>
      </c>
      <c r="C544" s="95">
        <v>0.1</v>
      </c>
    </row>
    <row r="545" spans="2:10" x14ac:dyDescent="0.3">
      <c r="B545" s="14" t="s">
        <v>710</v>
      </c>
      <c r="C545" s="2"/>
    </row>
    <row r="546" spans="2:10" x14ac:dyDescent="0.3">
      <c r="B546" s="2" t="s">
        <v>765</v>
      </c>
      <c r="C546" s="2">
        <f>C540*12</f>
        <v>1200000</v>
      </c>
    </row>
    <row r="547" spans="2:10" x14ac:dyDescent="0.3">
      <c r="B547" s="2" t="s">
        <v>49</v>
      </c>
      <c r="C547" s="2">
        <f>C546*C541</f>
        <v>960000</v>
      </c>
      <c r="D547" s="90" t="s">
        <v>766</v>
      </c>
    </row>
    <row r="548" spans="2:10" x14ac:dyDescent="0.3">
      <c r="B548" s="2" t="s">
        <v>763</v>
      </c>
      <c r="C548" s="2">
        <f>C542*C543</f>
        <v>100000</v>
      </c>
    </row>
    <row r="549" spans="2:10" x14ac:dyDescent="0.3">
      <c r="B549" s="2" t="s">
        <v>55</v>
      </c>
      <c r="C549" s="2">
        <f>C547-C548</f>
        <v>860000</v>
      </c>
    </row>
    <row r="550" spans="2:10" x14ac:dyDescent="0.3">
      <c r="B550" s="2" t="s">
        <v>53</v>
      </c>
      <c r="C550" s="82">
        <f>C549/C544</f>
        <v>8600000</v>
      </c>
    </row>
    <row r="553" spans="2:10" ht="19.5" thickBot="1" x14ac:dyDescent="0.35"/>
    <row r="554" spans="2:10" ht="59.25" customHeight="1" thickBot="1" x14ac:dyDescent="0.35">
      <c r="B554" s="161" t="s">
        <v>767</v>
      </c>
      <c r="C554" s="162"/>
      <c r="D554" s="162"/>
      <c r="E554" s="162"/>
      <c r="F554" s="162"/>
      <c r="G554" s="162"/>
      <c r="H554" s="162"/>
      <c r="I554" s="162"/>
      <c r="J554" s="163"/>
    </row>
    <row r="557" spans="2:10" x14ac:dyDescent="0.3">
      <c r="B557" s="2" t="s">
        <v>768</v>
      </c>
      <c r="C557" s="95">
        <v>0.1</v>
      </c>
    </row>
    <row r="558" spans="2:10" x14ac:dyDescent="0.3">
      <c r="B558" s="2" t="s">
        <v>769</v>
      </c>
      <c r="C558" s="95">
        <v>0.12</v>
      </c>
    </row>
    <row r="559" spans="2:10" x14ac:dyDescent="0.3">
      <c r="B559" s="2" t="s">
        <v>770</v>
      </c>
      <c r="C559" s="95">
        <v>0.11</v>
      </c>
    </row>
    <row r="560" spans="2:10" x14ac:dyDescent="0.3">
      <c r="B560" s="2" t="s">
        <v>710</v>
      </c>
      <c r="C560" s="2"/>
    </row>
    <row r="561" spans="2:10" x14ac:dyDescent="0.3">
      <c r="B561" s="2" t="s">
        <v>771</v>
      </c>
      <c r="C561" s="2">
        <f>1/C558</f>
        <v>8.3333333333333339</v>
      </c>
      <c r="D561" s="90" t="s">
        <v>776</v>
      </c>
    </row>
    <row r="562" spans="2:10" x14ac:dyDescent="0.3">
      <c r="B562" s="2" t="s">
        <v>773</v>
      </c>
      <c r="C562" s="2">
        <f>1+C557</f>
        <v>1.1000000000000001</v>
      </c>
      <c r="D562" s="90" t="s">
        <v>774</v>
      </c>
    </row>
    <row r="563" spans="2:10" x14ac:dyDescent="0.3">
      <c r="B563" s="2" t="s">
        <v>772</v>
      </c>
      <c r="C563" s="2">
        <f>C562/C559</f>
        <v>10</v>
      </c>
    </row>
    <row r="564" spans="2:10" x14ac:dyDescent="0.3">
      <c r="B564" s="6" t="s">
        <v>775</v>
      </c>
      <c r="C564" s="139">
        <f>C563/C561-1</f>
        <v>0.19999999999999996</v>
      </c>
    </row>
    <row r="567" spans="2:10" ht="19.5" thickBot="1" x14ac:dyDescent="0.35"/>
    <row r="568" spans="2:10" ht="126.75" customHeight="1" thickBot="1" x14ac:dyDescent="0.35">
      <c r="B568" s="161" t="s">
        <v>850</v>
      </c>
      <c r="C568" s="162"/>
      <c r="D568" s="162"/>
      <c r="E568" s="162"/>
      <c r="F568" s="162"/>
      <c r="G568" s="162"/>
      <c r="H568" s="162"/>
      <c r="I568" s="162"/>
      <c r="J568" s="163"/>
    </row>
    <row r="571" spans="2:10" x14ac:dyDescent="0.3">
      <c r="B571" s="2" t="s">
        <v>0</v>
      </c>
      <c r="C571" s="3">
        <v>1</v>
      </c>
      <c r="D571" s="3">
        <v>2</v>
      </c>
      <c r="E571" s="3" t="s">
        <v>1</v>
      </c>
    </row>
    <row r="572" spans="2:10" x14ac:dyDescent="0.3">
      <c r="B572" s="2" t="s">
        <v>55</v>
      </c>
      <c r="C572" s="19"/>
      <c r="D572" s="19"/>
      <c r="E572" s="19">
        <v>25000000</v>
      </c>
    </row>
    <row r="573" spans="2:10" x14ac:dyDescent="0.3">
      <c r="B573" s="2" t="s">
        <v>30</v>
      </c>
      <c r="C573" s="19"/>
      <c r="D573" s="19"/>
      <c r="E573" s="145">
        <v>0.1</v>
      </c>
      <c r="F573" s="111" t="s">
        <v>779</v>
      </c>
    </row>
    <row r="574" spans="2:10" x14ac:dyDescent="0.3">
      <c r="B574" s="2" t="s">
        <v>50</v>
      </c>
      <c r="C574" s="19">
        <v>-100000000</v>
      </c>
      <c r="D574" s="19">
        <v>-100000000</v>
      </c>
      <c r="E574" s="19">
        <f>E572/E573</f>
        <v>250000000</v>
      </c>
    </row>
    <row r="575" spans="2:10" x14ac:dyDescent="0.3">
      <c r="B575" s="2" t="s">
        <v>16</v>
      </c>
      <c r="C575" s="141">
        <v>0.2</v>
      </c>
      <c r="D575" s="141">
        <v>0.2</v>
      </c>
      <c r="E575" s="141">
        <v>0.2</v>
      </c>
    </row>
    <row r="576" spans="2:10" x14ac:dyDescent="0.3">
      <c r="B576" s="2" t="s">
        <v>17</v>
      </c>
      <c r="C576" s="19">
        <f>C574/(1+C575)^1</f>
        <v>-83333333.333333343</v>
      </c>
      <c r="D576" s="19">
        <f>D574/(1+D575)^2</f>
        <v>-69444444.444444448</v>
      </c>
      <c r="E576" s="19">
        <f>E574/(1+E575)^2</f>
        <v>173611111.1111111</v>
      </c>
      <c r="F576" s="130">
        <f>SUM(C576:E576)</f>
        <v>20833333.333333313</v>
      </c>
    </row>
    <row r="578" spans="2:10" x14ac:dyDescent="0.3">
      <c r="B578" s="90" t="s">
        <v>777</v>
      </c>
    </row>
    <row r="579" spans="2:10" x14ac:dyDescent="0.3">
      <c r="B579" s="90" t="s">
        <v>780</v>
      </c>
    </row>
    <row r="580" spans="2:10" x14ac:dyDescent="0.3">
      <c r="B580" s="90" t="s">
        <v>781</v>
      </c>
    </row>
    <row r="581" spans="2:10" x14ac:dyDescent="0.3">
      <c r="B581" s="90" t="s">
        <v>778</v>
      </c>
    </row>
    <row r="582" spans="2:10" x14ac:dyDescent="0.3">
      <c r="B582" s="90" t="s">
        <v>782</v>
      </c>
    </row>
    <row r="583" spans="2:10" x14ac:dyDescent="0.3">
      <c r="B583" s="90" t="s">
        <v>824</v>
      </c>
    </row>
    <row r="586" spans="2:10" ht="19.5" thickBot="1" x14ac:dyDescent="0.35"/>
    <row r="587" spans="2:10" ht="42" customHeight="1" thickBot="1" x14ac:dyDescent="0.35">
      <c r="B587" s="161" t="s">
        <v>783</v>
      </c>
      <c r="C587" s="162"/>
      <c r="D587" s="162"/>
      <c r="E587" s="162"/>
      <c r="F587" s="162"/>
      <c r="G587" s="162"/>
      <c r="H587" s="162"/>
      <c r="I587" s="162"/>
      <c r="J587" s="163"/>
    </row>
    <row r="589" spans="2:10" x14ac:dyDescent="0.3">
      <c r="B589" s="2" t="s">
        <v>53</v>
      </c>
      <c r="C589" s="2">
        <v>11000000</v>
      </c>
    </row>
    <row r="590" spans="2:10" x14ac:dyDescent="0.3">
      <c r="B590" s="2" t="s">
        <v>603</v>
      </c>
      <c r="C590" s="2">
        <v>0.12</v>
      </c>
    </row>
    <row r="591" spans="2:10" x14ac:dyDescent="0.3">
      <c r="B591" s="2" t="s">
        <v>784</v>
      </c>
      <c r="C591" s="95">
        <v>0.3</v>
      </c>
    </row>
    <row r="592" spans="2:10" x14ac:dyDescent="0.3">
      <c r="B592" s="2" t="s">
        <v>48</v>
      </c>
      <c r="C592" s="2">
        <v>0.95</v>
      </c>
    </row>
    <row r="593" spans="2:10" x14ac:dyDescent="0.3">
      <c r="B593" s="14" t="s">
        <v>710</v>
      </c>
      <c r="C593" s="2"/>
    </row>
    <row r="594" spans="2:10" x14ac:dyDescent="0.3">
      <c r="B594" s="2" t="s">
        <v>55</v>
      </c>
      <c r="C594" s="2">
        <f>C589*C590</f>
        <v>1320000</v>
      </c>
      <c r="D594" s="90" t="s">
        <v>785</v>
      </c>
    </row>
    <row r="595" spans="2:10" x14ac:dyDescent="0.3">
      <c r="B595" s="2" t="s">
        <v>49</v>
      </c>
      <c r="C595" s="2">
        <f>C594/(1-C591)</f>
        <v>1885714.2857142859</v>
      </c>
      <c r="D595" s="90" t="s">
        <v>786</v>
      </c>
    </row>
    <row r="596" spans="2:10" x14ac:dyDescent="0.3">
      <c r="B596" s="2" t="s">
        <v>19</v>
      </c>
      <c r="C596" s="82">
        <f>C595/C592</f>
        <v>1984962.4060150378</v>
      </c>
      <c r="D596" s="90" t="s">
        <v>787</v>
      </c>
    </row>
    <row r="599" spans="2:10" ht="19.5" thickBot="1" x14ac:dyDescent="0.35"/>
    <row r="600" spans="2:10" ht="159" customHeight="1" thickBot="1" x14ac:dyDescent="0.35">
      <c r="B600" s="161" t="s">
        <v>849</v>
      </c>
      <c r="C600" s="162"/>
      <c r="D600" s="162"/>
      <c r="E600" s="162"/>
      <c r="F600" s="162"/>
      <c r="G600" s="162"/>
      <c r="H600" s="162"/>
      <c r="I600" s="162"/>
      <c r="J600" s="163"/>
    </row>
    <row r="602" spans="2:10" x14ac:dyDescent="0.3">
      <c r="B602" s="22" t="s">
        <v>848</v>
      </c>
    </row>
    <row r="603" spans="2:10" x14ac:dyDescent="0.3">
      <c r="B603" s="2" t="s">
        <v>788</v>
      </c>
      <c r="C603" s="73">
        <v>2016</v>
      </c>
      <c r="D603" s="73">
        <v>2017</v>
      </c>
      <c r="E603" s="73">
        <v>2018</v>
      </c>
      <c r="F603" s="73">
        <v>2019</v>
      </c>
      <c r="G603" s="73">
        <v>2020</v>
      </c>
    </row>
    <row r="604" spans="2:10" x14ac:dyDescent="0.3">
      <c r="B604" s="2" t="s">
        <v>0</v>
      </c>
      <c r="C604" s="2"/>
      <c r="D604" s="73">
        <v>1</v>
      </c>
      <c r="E604" s="73">
        <v>2</v>
      </c>
      <c r="F604" s="73">
        <v>3</v>
      </c>
      <c r="G604" s="19" t="s">
        <v>1</v>
      </c>
    </row>
    <row r="605" spans="2:10" x14ac:dyDescent="0.3">
      <c r="B605" s="2" t="s">
        <v>110</v>
      </c>
      <c r="C605" s="19">
        <v>5000</v>
      </c>
      <c r="D605" s="19">
        <v>5000</v>
      </c>
      <c r="E605" s="19">
        <v>5000</v>
      </c>
      <c r="F605" s="19">
        <v>5000</v>
      </c>
      <c r="G605" s="19">
        <v>5000</v>
      </c>
    </row>
    <row r="606" spans="2:10" x14ac:dyDescent="0.3">
      <c r="B606" s="2" t="s">
        <v>111</v>
      </c>
      <c r="C606" s="19">
        <v>4800</v>
      </c>
      <c r="D606" s="19">
        <v>4800</v>
      </c>
      <c r="E606" s="19">
        <v>4800</v>
      </c>
      <c r="F606" s="19">
        <v>4800</v>
      </c>
      <c r="G606" s="19">
        <v>4800</v>
      </c>
    </row>
    <row r="607" spans="2:10" x14ac:dyDescent="0.3">
      <c r="B607" s="2" t="s">
        <v>794</v>
      </c>
      <c r="C607" s="19">
        <v>3000</v>
      </c>
      <c r="D607" s="19">
        <f>C607*1.1</f>
        <v>3300.0000000000005</v>
      </c>
      <c r="E607" s="19">
        <f>D607*1.1</f>
        <v>3630.0000000000009</v>
      </c>
      <c r="F607" s="19"/>
      <c r="G607" s="19"/>
      <c r="H607" s="90" t="s">
        <v>798</v>
      </c>
    </row>
    <row r="608" spans="2:10" x14ac:dyDescent="0.3">
      <c r="B608" s="2" t="s">
        <v>790</v>
      </c>
      <c r="C608" s="19"/>
      <c r="D608" s="146">
        <f>D606*D607</f>
        <v>15840000.000000002</v>
      </c>
      <c r="E608" s="146">
        <f>E606*E607</f>
        <v>17424000.000000004</v>
      </c>
      <c r="F608" s="19"/>
      <c r="G608" s="19"/>
    </row>
    <row r="609" spans="2:10" x14ac:dyDescent="0.3">
      <c r="B609" s="2" t="s">
        <v>789</v>
      </c>
      <c r="C609" s="19"/>
      <c r="D609" s="19">
        <v>3500</v>
      </c>
      <c r="E609" s="19">
        <f>D609*1.06</f>
        <v>3710</v>
      </c>
      <c r="F609" s="19">
        <f>E609*1.06</f>
        <v>3932.6000000000004</v>
      </c>
      <c r="G609" s="19">
        <f>F609*1.06</f>
        <v>4168.5560000000005</v>
      </c>
      <c r="H609" s="90" t="s">
        <v>797</v>
      </c>
    </row>
    <row r="610" spans="2:10" x14ac:dyDescent="0.3">
      <c r="B610" s="2" t="s">
        <v>793</v>
      </c>
      <c r="C610" s="19"/>
      <c r="D610" s="19"/>
      <c r="E610" s="19"/>
      <c r="F610" s="141">
        <v>1</v>
      </c>
      <c r="G610" s="141">
        <v>0.1</v>
      </c>
      <c r="H610" s="90" t="s">
        <v>799</v>
      </c>
    </row>
    <row r="611" spans="2:10" x14ac:dyDescent="0.3">
      <c r="B611" s="2" t="s">
        <v>795</v>
      </c>
      <c r="C611" s="19"/>
      <c r="D611" s="19"/>
      <c r="E611" s="19"/>
      <c r="F611" s="146">
        <f>F606*F609*(1-F610)</f>
        <v>0</v>
      </c>
      <c r="G611" s="146">
        <f>G606*G609*(1-G610)</f>
        <v>18008161.920000002</v>
      </c>
    </row>
    <row r="612" spans="2:10" x14ac:dyDescent="0.3">
      <c r="B612" s="2" t="s">
        <v>791</v>
      </c>
      <c r="C612" s="19">
        <v>1000</v>
      </c>
      <c r="D612" s="19">
        <f>C612*1.06</f>
        <v>1060</v>
      </c>
      <c r="E612" s="19">
        <f>D612*1.06</f>
        <v>1123.6000000000001</v>
      </c>
      <c r="F612" s="19">
        <f>E612*1.06</f>
        <v>1191.0160000000003</v>
      </c>
      <c r="G612" s="19">
        <f>F612*1.06</f>
        <v>1262.4769600000004</v>
      </c>
      <c r="H612" s="90" t="s">
        <v>803</v>
      </c>
    </row>
    <row r="613" spans="2:10" x14ac:dyDescent="0.3">
      <c r="B613" s="2" t="s">
        <v>792</v>
      </c>
      <c r="C613" s="141"/>
      <c r="D613" s="141">
        <v>0.8</v>
      </c>
      <c r="E613" s="141">
        <v>0.8</v>
      </c>
      <c r="F613" s="141">
        <v>0</v>
      </c>
      <c r="G613" s="141">
        <v>1</v>
      </c>
      <c r="H613" s="90" t="s">
        <v>800</v>
      </c>
    </row>
    <row r="614" spans="2:10" x14ac:dyDescent="0.3">
      <c r="B614" s="2" t="s">
        <v>796</v>
      </c>
      <c r="C614" s="19"/>
      <c r="D614" s="146">
        <f>D605*D612*(1-D613)</f>
        <v>1059999.9999999998</v>
      </c>
      <c r="E614" s="146">
        <f>E605*E612*(1-E613)</f>
        <v>1123600</v>
      </c>
      <c r="F614" s="146">
        <f>F605*F612*(1-F613)</f>
        <v>5955080.0000000019</v>
      </c>
      <c r="G614" s="146">
        <f>G605*G612*(1-G613)</f>
        <v>0</v>
      </c>
      <c r="H614" s="90" t="s">
        <v>801</v>
      </c>
    </row>
    <row r="615" spans="2:10" x14ac:dyDescent="0.3">
      <c r="B615" s="2" t="s">
        <v>55</v>
      </c>
      <c r="C615" s="19"/>
      <c r="D615" s="19">
        <f>D608-D614</f>
        <v>14780000.000000002</v>
      </c>
      <c r="E615" s="19">
        <f>E608-E614</f>
        <v>16300400.000000004</v>
      </c>
      <c r="F615" s="19">
        <f>F611-F614</f>
        <v>-5955080.0000000019</v>
      </c>
      <c r="G615" s="19">
        <f>G611-G614</f>
        <v>18008161.920000002</v>
      </c>
    </row>
    <row r="616" spans="2:10" x14ac:dyDescent="0.3">
      <c r="B616" s="2" t="s">
        <v>30</v>
      </c>
      <c r="C616" s="19"/>
      <c r="D616" s="19"/>
      <c r="E616" s="19"/>
      <c r="F616" s="19"/>
      <c r="G616" s="141">
        <v>0.12</v>
      </c>
    </row>
    <row r="617" spans="2:10" x14ac:dyDescent="0.3">
      <c r="B617" s="2" t="s">
        <v>15</v>
      </c>
      <c r="C617" s="19"/>
      <c r="D617" s="19"/>
      <c r="E617" s="19"/>
      <c r="F617" s="19"/>
      <c r="G617" s="19">
        <f>G615/G616</f>
        <v>150068016.00000003</v>
      </c>
    </row>
    <row r="618" spans="2:10" x14ac:dyDescent="0.3">
      <c r="B618" s="2" t="s">
        <v>50</v>
      </c>
      <c r="C618" s="19"/>
      <c r="D618" s="19">
        <f>D615</f>
        <v>14780000.000000002</v>
      </c>
      <c r="E618" s="19">
        <f>E615</f>
        <v>16300400.000000004</v>
      </c>
      <c r="F618" s="19">
        <f>F615</f>
        <v>-5955080.0000000019</v>
      </c>
      <c r="G618" s="19">
        <f>G617</f>
        <v>150068016.00000003</v>
      </c>
      <c r="H618" s="90" t="s">
        <v>802</v>
      </c>
    </row>
    <row r="619" spans="2:10" x14ac:dyDescent="0.3">
      <c r="B619" s="2" t="s">
        <v>16</v>
      </c>
      <c r="C619" s="19"/>
      <c r="D619" s="141">
        <v>0.15</v>
      </c>
      <c r="E619" s="141">
        <v>0.15</v>
      </c>
      <c r="F619" s="141">
        <v>0.15</v>
      </c>
      <c r="G619" s="141">
        <v>0.15</v>
      </c>
    </row>
    <row r="620" spans="2:10" x14ac:dyDescent="0.3">
      <c r="B620" s="2" t="s">
        <v>17</v>
      </c>
      <c r="C620" s="19"/>
      <c r="D620" s="19">
        <f>D618/(1+D619)^D604</f>
        <v>12852173.91304348</v>
      </c>
      <c r="E620" s="19">
        <f t="shared" ref="E620:F620" si="36">E618/(1+E619)^E604</f>
        <v>12325444.234404542</v>
      </c>
      <c r="F620" s="19">
        <f t="shared" si="36"/>
        <v>-3915561.7654310865</v>
      </c>
      <c r="G620" s="19">
        <f>G618/(1+G619)^3</f>
        <v>98672156.488863364</v>
      </c>
      <c r="H620" s="80">
        <f>SUM(D620:G620)</f>
        <v>119934212.87088031</v>
      </c>
    </row>
    <row r="623" spans="2:10" ht="19.5" thickBot="1" x14ac:dyDescent="0.35"/>
    <row r="624" spans="2:10" ht="96.75" customHeight="1" thickBot="1" x14ac:dyDescent="0.35">
      <c r="B624" s="161" t="s">
        <v>847</v>
      </c>
      <c r="C624" s="162"/>
      <c r="D624" s="162"/>
      <c r="E624" s="162"/>
      <c r="F624" s="162"/>
      <c r="G624" s="162"/>
      <c r="H624" s="162"/>
      <c r="I624" s="162"/>
      <c r="J624" s="163"/>
    </row>
    <row r="626" spans="2:10" x14ac:dyDescent="0.3">
      <c r="B626" s="2" t="s">
        <v>591</v>
      </c>
      <c r="C626" s="2">
        <v>2000000</v>
      </c>
    </row>
    <row r="627" spans="2:10" x14ac:dyDescent="0.3">
      <c r="B627" s="2" t="s">
        <v>39</v>
      </c>
      <c r="C627" s="2">
        <v>1100000</v>
      </c>
    </row>
    <row r="628" spans="2:10" x14ac:dyDescent="0.3">
      <c r="B628" s="2" t="s">
        <v>804</v>
      </c>
      <c r="C628" s="95">
        <v>0.2</v>
      </c>
    </row>
    <row r="629" spans="2:10" x14ac:dyDescent="0.3">
      <c r="B629" s="2" t="s">
        <v>807</v>
      </c>
      <c r="C629" s="95">
        <v>0.25</v>
      </c>
    </row>
    <row r="630" spans="2:10" x14ac:dyDescent="0.3">
      <c r="B630" s="15" t="s">
        <v>35</v>
      </c>
      <c r="C630" s="2"/>
    </row>
    <row r="631" spans="2:10" x14ac:dyDescent="0.3">
      <c r="B631" s="2" t="s">
        <v>804</v>
      </c>
      <c r="C631" s="2">
        <f>C627*C628</f>
        <v>220000</v>
      </c>
    </row>
    <row r="632" spans="2:10" x14ac:dyDescent="0.3">
      <c r="B632" s="2" t="s">
        <v>806</v>
      </c>
      <c r="C632" s="2">
        <f>C627+C631</f>
        <v>1320000</v>
      </c>
    </row>
    <row r="633" spans="2:10" x14ac:dyDescent="0.3">
      <c r="B633" s="2" t="s">
        <v>805</v>
      </c>
      <c r="C633" s="2">
        <f>C632*C629</f>
        <v>330000</v>
      </c>
    </row>
    <row r="634" spans="2:10" x14ac:dyDescent="0.3">
      <c r="B634" s="2" t="s">
        <v>45</v>
      </c>
      <c r="C634" s="82">
        <f>C626-C632-C633</f>
        <v>350000</v>
      </c>
    </row>
    <row r="637" spans="2:10" ht="19.5" thickBot="1" x14ac:dyDescent="0.35"/>
    <row r="638" spans="2:10" ht="96" customHeight="1" thickBot="1" x14ac:dyDescent="0.35">
      <c r="B638" s="161" t="s">
        <v>846</v>
      </c>
      <c r="C638" s="162"/>
      <c r="D638" s="162"/>
      <c r="E638" s="162"/>
      <c r="F638" s="162"/>
      <c r="G638" s="162"/>
      <c r="H638" s="162"/>
      <c r="I638" s="162"/>
      <c r="J638" s="163"/>
    </row>
    <row r="641" spans="2:7" x14ac:dyDescent="0.3">
      <c r="B641" s="2" t="s">
        <v>591</v>
      </c>
      <c r="C641" s="2">
        <v>2000000</v>
      </c>
      <c r="E641" s="2" t="s">
        <v>90</v>
      </c>
      <c r="F641" s="2">
        <v>280000</v>
      </c>
    </row>
    <row r="642" spans="2:7" x14ac:dyDescent="0.3">
      <c r="B642" s="2" t="s">
        <v>39</v>
      </c>
      <c r="C642" s="2">
        <v>1100000</v>
      </c>
      <c r="E642" s="2" t="s">
        <v>591</v>
      </c>
      <c r="F642" s="2">
        <f>C641</f>
        <v>2000000</v>
      </c>
    </row>
    <row r="643" spans="2:7" x14ac:dyDescent="0.3">
      <c r="B643" s="2" t="s">
        <v>804</v>
      </c>
      <c r="C643" s="95">
        <v>0.2</v>
      </c>
      <c r="E643" s="2" t="s">
        <v>854</v>
      </c>
      <c r="F643" s="2">
        <f>C647</f>
        <v>1320000</v>
      </c>
    </row>
    <row r="644" spans="2:7" x14ac:dyDescent="0.3">
      <c r="B644" s="2" t="s">
        <v>808</v>
      </c>
      <c r="C644" s="95">
        <v>0.25</v>
      </c>
      <c r="E644" s="2" t="s">
        <v>90</v>
      </c>
      <c r="F644" s="2">
        <f>F642-F643-0.25*(F643+F641)</f>
        <v>280000</v>
      </c>
    </row>
    <row r="645" spans="2:7" x14ac:dyDescent="0.3">
      <c r="B645" s="15" t="s">
        <v>35</v>
      </c>
      <c r="C645" s="2"/>
      <c r="E645" s="2" t="s">
        <v>855</v>
      </c>
      <c r="F645" s="2">
        <f>F644-F641</f>
        <v>0</v>
      </c>
      <c r="G645" s="90" t="s">
        <v>856</v>
      </c>
    </row>
    <row r="646" spans="2:7" x14ac:dyDescent="0.3">
      <c r="B646" s="2" t="s">
        <v>804</v>
      </c>
      <c r="C646" s="2">
        <f>C642*C643</f>
        <v>220000</v>
      </c>
    </row>
    <row r="647" spans="2:7" x14ac:dyDescent="0.3">
      <c r="B647" s="2" t="s">
        <v>806</v>
      </c>
      <c r="C647" s="2">
        <f>C642+C646</f>
        <v>1320000</v>
      </c>
    </row>
    <row r="649" spans="2:7" x14ac:dyDescent="0.3">
      <c r="B649" s="1" t="s">
        <v>809</v>
      </c>
    </row>
    <row r="650" spans="2:7" x14ac:dyDescent="0.3">
      <c r="B650" s="1" t="s">
        <v>810</v>
      </c>
    </row>
    <row r="651" spans="2:7" x14ac:dyDescent="0.3">
      <c r="B651" s="1" t="s">
        <v>831</v>
      </c>
    </row>
    <row r="652" spans="2:7" x14ac:dyDescent="0.3">
      <c r="B652" s="1" t="s">
        <v>832</v>
      </c>
    </row>
    <row r="653" spans="2:7" x14ac:dyDescent="0.3">
      <c r="B653" s="1" t="s">
        <v>811</v>
      </c>
    </row>
    <row r="654" spans="2:7" x14ac:dyDescent="0.3">
      <c r="B654" s="1" t="s">
        <v>812</v>
      </c>
    </row>
    <row r="655" spans="2:7" x14ac:dyDescent="0.3">
      <c r="B655" s="1" t="s">
        <v>813</v>
      </c>
    </row>
    <row r="656" spans="2:7" x14ac:dyDescent="0.3">
      <c r="B656" s="80" t="s">
        <v>814</v>
      </c>
    </row>
    <row r="659" spans="2:10" ht="19.5" thickBot="1" x14ac:dyDescent="0.35"/>
    <row r="660" spans="2:10" ht="96.75" customHeight="1" thickBot="1" x14ac:dyDescent="0.35">
      <c r="B660" s="161" t="s">
        <v>845</v>
      </c>
      <c r="C660" s="162"/>
      <c r="D660" s="162"/>
      <c r="E660" s="162"/>
      <c r="F660" s="162"/>
      <c r="G660" s="162"/>
      <c r="H660" s="162"/>
      <c r="I660" s="162"/>
      <c r="J660" s="163"/>
    </row>
    <row r="662" spans="2:10" x14ac:dyDescent="0.3">
      <c r="B662" s="2" t="s">
        <v>0</v>
      </c>
      <c r="C662" s="73">
        <v>1</v>
      </c>
      <c r="D662" s="73" t="s">
        <v>1</v>
      </c>
    </row>
    <row r="663" spans="2:10" x14ac:dyDescent="0.3">
      <c r="B663" s="2" t="s">
        <v>180</v>
      </c>
      <c r="C663" s="2"/>
      <c r="D663" s="2">
        <v>110</v>
      </c>
    </row>
    <row r="664" spans="2:10" x14ac:dyDescent="0.3">
      <c r="B664" s="2" t="s">
        <v>815</v>
      </c>
      <c r="C664" s="2"/>
      <c r="D664" s="2">
        <v>10000</v>
      </c>
    </row>
    <row r="665" spans="2:10" x14ac:dyDescent="0.3">
      <c r="B665" s="2" t="s">
        <v>48</v>
      </c>
      <c r="C665" s="2"/>
      <c r="D665" s="2">
        <v>0.9</v>
      </c>
    </row>
    <row r="666" spans="2:10" x14ac:dyDescent="0.3">
      <c r="B666" s="2" t="s">
        <v>49</v>
      </c>
      <c r="C666" s="2"/>
      <c r="D666" s="2">
        <f>D663*D664*D665</f>
        <v>990000</v>
      </c>
    </row>
    <row r="667" spans="2:10" x14ac:dyDescent="0.3">
      <c r="B667" s="2" t="s">
        <v>816</v>
      </c>
      <c r="C667" s="2"/>
      <c r="D667" s="2">
        <v>1000</v>
      </c>
    </row>
    <row r="668" spans="2:10" x14ac:dyDescent="0.3">
      <c r="B668" s="2" t="s">
        <v>307</v>
      </c>
      <c r="C668" s="2"/>
      <c r="D668" s="2">
        <f>D663*D667</f>
        <v>110000</v>
      </c>
    </row>
    <row r="669" spans="2:10" x14ac:dyDescent="0.3">
      <c r="B669" s="2" t="s">
        <v>55</v>
      </c>
      <c r="C669" s="2"/>
      <c r="D669" s="2">
        <f>D666-D668</f>
        <v>880000</v>
      </c>
    </row>
    <row r="670" spans="2:10" x14ac:dyDescent="0.3">
      <c r="B670" s="2" t="s">
        <v>603</v>
      </c>
      <c r="C670" s="2"/>
      <c r="D670" s="95">
        <v>0.1</v>
      </c>
    </row>
    <row r="671" spans="2:10" x14ac:dyDescent="0.3">
      <c r="B671" s="2" t="s">
        <v>15</v>
      </c>
      <c r="C671" s="2"/>
      <c r="D671" s="2">
        <f>D669/D670</f>
        <v>8800000</v>
      </c>
    </row>
    <row r="672" spans="2:10" x14ac:dyDescent="0.3">
      <c r="B672" s="2" t="s">
        <v>50</v>
      </c>
      <c r="C672" s="2">
        <v>-1100000</v>
      </c>
      <c r="D672" s="2">
        <f>D671</f>
        <v>8800000</v>
      </c>
    </row>
    <row r="673" spans="2:10" x14ac:dyDescent="0.3">
      <c r="B673" s="2" t="s">
        <v>16</v>
      </c>
      <c r="C673" s="95">
        <v>0.2</v>
      </c>
      <c r="D673" s="95">
        <v>0.2</v>
      </c>
    </row>
    <row r="674" spans="2:10" x14ac:dyDescent="0.3">
      <c r="B674" s="2" t="s">
        <v>17</v>
      </c>
      <c r="C674" s="2">
        <f>C672/(1+C673)^(1-1)</f>
        <v>-1100000</v>
      </c>
      <c r="D674" s="2">
        <f>D672/(1+D673)^1</f>
        <v>7333333.333333334</v>
      </c>
      <c r="E674" s="80">
        <f>SUM(C674:D674)</f>
        <v>6233333.333333334</v>
      </c>
    </row>
    <row r="676" spans="2:10" x14ac:dyDescent="0.3">
      <c r="B676" s="111" t="s">
        <v>817</v>
      </c>
    </row>
    <row r="677" spans="2:10" x14ac:dyDescent="0.3">
      <c r="B677" s="111" t="s">
        <v>818</v>
      </c>
    </row>
    <row r="680" spans="2:10" ht="19.5" thickBot="1" x14ac:dyDescent="0.35"/>
    <row r="681" spans="2:10" ht="117" customHeight="1" thickBot="1" x14ac:dyDescent="0.35">
      <c r="B681" s="161" t="s">
        <v>819</v>
      </c>
      <c r="C681" s="162"/>
      <c r="D681" s="162"/>
      <c r="E681" s="162"/>
      <c r="F681" s="162"/>
      <c r="G681" s="162"/>
      <c r="H681" s="162"/>
      <c r="I681" s="162"/>
      <c r="J681" s="163"/>
    </row>
    <row r="684" spans="2:10" x14ac:dyDescent="0.3">
      <c r="B684" s="2" t="s">
        <v>0</v>
      </c>
      <c r="C684" s="3">
        <v>1</v>
      </c>
      <c r="D684" s="3">
        <v>2</v>
      </c>
      <c r="E684" s="3" t="s">
        <v>1</v>
      </c>
    </row>
    <row r="685" spans="2:10" x14ac:dyDescent="0.3">
      <c r="B685" s="2" t="s">
        <v>55</v>
      </c>
      <c r="C685" s="19"/>
      <c r="D685" s="19"/>
      <c r="E685" s="19">
        <v>30000000</v>
      </c>
    </row>
    <row r="686" spans="2:10" x14ac:dyDescent="0.3">
      <c r="B686" s="2" t="s">
        <v>30</v>
      </c>
      <c r="C686" s="19"/>
      <c r="D686" s="19"/>
      <c r="E686" s="158">
        <v>0.1111</v>
      </c>
      <c r="F686" s="111" t="s">
        <v>779</v>
      </c>
    </row>
    <row r="687" spans="2:10" x14ac:dyDescent="0.3">
      <c r="B687" s="2" t="s">
        <v>50</v>
      </c>
      <c r="C687" s="19">
        <v>-100000000</v>
      </c>
      <c r="D687" s="19">
        <v>-100000000</v>
      </c>
      <c r="E687" s="19">
        <f>E685/E686</f>
        <v>270027002.70027</v>
      </c>
    </row>
    <row r="688" spans="2:10" x14ac:dyDescent="0.3">
      <c r="B688" s="2" t="s">
        <v>16</v>
      </c>
      <c r="C688" s="141">
        <v>0.2</v>
      </c>
      <c r="D688" s="141">
        <v>0.2</v>
      </c>
      <c r="E688" s="141">
        <v>0.2</v>
      </c>
    </row>
    <row r="689" spans="2:10" x14ac:dyDescent="0.3">
      <c r="B689" s="2" t="s">
        <v>17</v>
      </c>
      <c r="C689" s="19">
        <f>C687/(1+C688)^(1-0.5)</f>
        <v>-91287092.917527691</v>
      </c>
      <c r="D689" s="19">
        <f>D687/(1+D688)^(2-0.5)</f>
        <v>-76072577.431273073</v>
      </c>
      <c r="E689" s="19">
        <f>E687/(1+E688)^2</f>
        <v>187518751.87518752</v>
      </c>
      <c r="F689" s="130">
        <f>SUM(C689:E689)</f>
        <v>20159081.526386738</v>
      </c>
    </row>
    <row r="691" spans="2:10" x14ac:dyDescent="0.3">
      <c r="B691" s="90" t="s">
        <v>777</v>
      </c>
    </row>
    <row r="692" spans="2:10" x14ac:dyDescent="0.3">
      <c r="B692" s="90" t="s">
        <v>780</v>
      </c>
    </row>
    <row r="693" spans="2:10" x14ac:dyDescent="0.3">
      <c r="B693" s="90" t="s">
        <v>820</v>
      </c>
    </row>
    <row r="694" spans="2:10" x14ac:dyDescent="0.3">
      <c r="B694" s="90" t="s">
        <v>821</v>
      </c>
    </row>
    <row r="695" spans="2:10" x14ac:dyDescent="0.3">
      <c r="B695" s="90" t="s">
        <v>822</v>
      </c>
    </row>
    <row r="696" spans="2:10" x14ac:dyDescent="0.3">
      <c r="B696" s="90" t="s">
        <v>823</v>
      </c>
    </row>
    <row r="699" spans="2:10" ht="19.5" thickBot="1" x14ac:dyDescent="0.35"/>
    <row r="700" spans="2:10" ht="78.75" customHeight="1" thickBot="1" x14ac:dyDescent="0.35">
      <c r="B700" s="161" t="s">
        <v>844</v>
      </c>
      <c r="C700" s="162"/>
      <c r="D700" s="162"/>
      <c r="E700" s="162"/>
      <c r="F700" s="162"/>
      <c r="G700" s="162"/>
      <c r="H700" s="162"/>
      <c r="I700" s="162"/>
      <c r="J700" s="163"/>
    </row>
    <row r="703" spans="2:10" x14ac:dyDescent="0.3">
      <c r="B703" s="2" t="s">
        <v>0</v>
      </c>
      <c r="C703" s="3">
        <v>1</v>
      </c>
      <c r="D703" s="3" t="s">
        <v>1</v>
      </c>
    </row>
    <row r="704" spans="2:10" x14ac:dyDescent="0.3">
      <c r="B704" s="2" t="s">
        <v>2</v>
      </c>
      <c r="C704" s="2">
        <v>100</v>
      </c>
      <c r="D704" s="2">
        <v>100</v>
      </c>
    </row>
    <row r="705" spans="2:5" x14ac:dyDescent="0.3">
      <c r="B705" s="2" t="s">
        <v>825</v>
      </c>
      <c r="C705" s="2">
        <v>12000</v>
      </c>
      <c r="D705" s="2">
        <v>15000</v>
      </c>
    </row>
    <row r="706" spans="2:5" x14ac:dyDescent="0.3">
      <c r="B706" s="2" t="s">
        <v>48</v>
      </c>
      <c r="C706" s="95">
        <v>1</v>
      </c>
      <c r="D706" s="95">
        <v>0.9</v>
      </c>
    </row>
    <row r="707" spans="2:5" x14ac:dyDescent="0.3">
      <c r="B707" s="2" t="s">
        <v>49</v>
      </c>
      <c r="C707" s="2">
        <f>C704*C705*C706</f>
        <v>1200000</v>
      </c>
      <c r="D707" s="2">
        <f>D704*D705*D706</f>
        <v>1350000</v>
      </c>
    </row>
    <row r="708" spans="2:5" x14ac:dyDescent="0.3">
      <c r="B708" s="2" t="s">
        <v>827</v>
      </c>
      <c r="C708" s="2">
        <v>3000</v>
      </c>
      <c r="D708" s="2">
        <v>3000</v>
      </c>
    </row>
    <row r="709" spans="2:5" x14ac:dyDescent="0.3">
      <c r="B709" s="2" t="s">
        <v>826</v>
      </c>
      <c r="C709" s="2">
        <f>C704*C706*C708</f>
        <v>300000</v>
      </c>
      <c r="D709" s="2">
        <f>D704*D706*D708</f>
        <v>270000</v>
      </c>
    </row>
    <row r="710" spans="2:5" x14ac:dyDescent="0.3">
      <c r="B710" s="2" t="s">
        <v>55</v>
      </c>
      <c r="C710" s="2">
        <f>C707-C709</f>
        <v>900000</v>
      </c>
      <c r="D710" s="2">
        <f>D707-D709</f>
        <v>1080000</v>
      </c>
    </row>
    <row r="711" spans="2:5" x14ac:dyDescent="0.3">
      <c r="B711" s="2" t="s">
        <v>30</v>
      </c>
      <c r="C711" s="2"/>
      <c r="D711" s="95">
        <v>0.12</v>
      </c>
    </row>
    <row r="712" spans="2:5" x14ac:dyDescent="0.3">
      <c r="B712" s="2" t="s">
        <v>15</v>
      </c>
      <c r="C712" s="2"/>
      <c r="D712" s="2">
        <f>D710/D711</f>
        <v>9000000</v>
      </c>
    </row>
    <row r="713" spans="2:5" x14ac:dyDescent="0.3">
      <c r="B713" s="2" t="s">
        <v>50</v>
      </c>
      <c r="C713" s="2">
        <f>C710</f>
        <v>900000</v>
      </c>
      <c r="D713" s="2">
        <f>D712</f>
        <v>9000000</v>
      </c>
    </row>
    <row r="714" spans="2:5" x14ac:dyDescent="0.3">
      <c r="B714" s="2" t="s">
        <v>16</v>
      </c>
      <c r="C714" s="95">
        <v>0.15</v>
      </c>
      <c r="D714" s="95">
        <v>0.15</v>
      </c>
    </row>
    <row r="715" spans="2:5" x14ac:dyDescent="0.3">
      <c r="B715" s="2" t="s">
        <v>17</v>
      </c>
      <c r="C715" s="2">
        <f>C713/(1+C714)^(1-1)</f>
        <v>900000</v>
      </c>
      <c r="D715" s="2">
        <f>D713/(1+D714)^1</f>
        <v>7826086.9565217402</v>
      </c>
      <c r="E715" s="80">
        <f>SUM(C715:D715)</f>
        <v>8726086.9565217402</v>
      </c>
    </row>
    <row r="717" spans="2:5" x14ac:dyDescent="0.3">
      <c r="B717" s="90" t="s">
        <v>833</v>
      </c>
    </row>
    <row r="720" spans="2:5" ht="19.5" thickBot="1" x14ac:dyDescent="0.35"/>
    <row r="721" spans="2:10" ht="95.45" customHeight="1" thickBot="1" x14ac:dyDescent="0.35">
      <c r="B721" s="161" t="s">
        <v>853</v>
      </c>
      <c r="C721" s="162"/>
      <c r="D721" s="162"/>
      <c r="E721" s="162"/>
      <c r="F721" s="162"/>
      <c r="G721" s="162"/>
      <c r="H721" s="162"/>
      <c r="I721" s="162"/>
      <c r="J721" s="163"/>
    </row>
    <row r="724" spans="2:10" x14ac:dyDescent="0.3">
      <c r="B724" s="2" t="s">
        <v>0</v>
      </c>
      <c r="C724" s="3">
        <v>1</v>
      </c>
      <c r="D724" s="3">
        <v>2</v>
      </c>
      <c r="E724" s="3" t="s">
        <v>1</v>
      </c>
    </row>
    <row r="725" spans="2:10" x14ac:dyDescent="0.3">
      <c r="B725" s="2" t="s">
        <v>55</v>
      </c>
      <c r="C725" s="19"/>
      <c r="D725" s="19"/>
      <c r="E725" s="19">
        <v>30000000</v>
      </c>
    </row>
    <row r="726" spans="2:10" x14ac:dyDescent="0.3">
      <c r="B726" s="2" t="s">
        <v>30</v>
      </c>
      <c r="C726" s="19"/>
      <c r="D726" s="19"/>
      <c r="E726" s="141">
        <v>0.1</v>
      </c>
      <c r="F726" s="111"/>
    </row>
    <row r="727" spans="2:10" x14ac:dyDescent="0.3">
      <c r="B727" s="2" t="s">
        <v>50</v>
      </c>
      <c r="C727" s="19">
        <v>-100000000</v>
      </c>
      <c r="D727" s="19">
        <v>-100000000</v>
      </c>
      <c r="E727" s="19">
        <f>E725/E726</f>
        <v>300000000</v>
      </c>
    </row>
    <row r="728" spans="2:10" x14ac:dyDescent="0.3">
      <c r="B728" s="2" t="s">
        <v>16</v>
      </c>
      <c r="C728" s="141">
        <v>0.2</v>
      </c>
      <c r="D728" s="141">
        <v>0.2</v>
      </c>
      <c r="E728" s="141">
        <v>0.2</v>
      </c>
    </row>
    <row r="729" spans="2:10" x14ac:dyDescent="0.3">
      <c r="B729" s="2" t="s">
        <v>17</v>
      </c>
      <c r="C729" s="19">
        <f>C727/(1+C728)^(1-0.5)</f>
        <v>-91287092.917527691</v>
      </c>
      <c r="D729" s="19">
        <f>D727/(1+D728)^(2-0.5)</f>
        <v>-76072577.431273073</v>
      </c>
      <c r="E729" s="19">
        <f>E727/(1+E728)^2</f>
        <v>208333333.33333334</v>
      </c>
      <c r="F729" s="130">
        <f>SUM(C729:E729)</f>
        <v>40973662.984532565</v>
      </c>
    </row>
  </sheetData>
  <mergeCells count="44">
    <mergeCell ref="B721:J721"/>
    <mergeCell ref="B624:J624"/>
    <mergeCell ref="B638:J638"/>
    <mergeCell ref="B660:J660"/>
    <mergeCell ref="B681:J681"/>
    <mergeCell ref="B700:J700"/>
    <mergeCell ref="B538:J538"/>
    <mergeCell ref="B554:J554"/>
    <mergeCell ref="B568:J568"/>
    <mergeCell ref="B587:J587"/>
    <mergeCell ref="B600:J600"/>
    <mergeCell ref="B25:J25"/>
    <mergeCell ref="B272:J272"/>
    <mergeCell ref="B292:J292"/>
    <mergeCell ref="B227:J227"/>
    <mergeCell ref="B238:J238"/>
    <mergeCell ref="B248:J248"/>
    <mergeCell ref="B258:J258"/>
    <mergeCell ref="B355:J355"/>
    <mergeCell ref="B374:J374"/>
    <mergeCell ref="B112:J112"/>
    <mergeCell ref="B192:J192"/>
    <mergeCell ref="B2:J2"/>
    <mergeCell ref="B9:J9"/>
    <mergeCell ref="B47:J47"/>
    <mergeCell ref="B68:J68"/>
    <mergeCell ref="B102:J102"/>
    <mergeCell ref="B143:J143"/>
    <mergeCell ref="B153:J153"/>
    <mergeCell ref="B166:J166"/>
    <mergeCell ref="B179:J179"/>
    <mergeCell ref="B214:J214"/>
    <mergeCell ref="B83:J83"/>
    <mergeCell ref="B319:J319"/>
    <mergeCell ref="B393:J393"/>
    <mergeCell ref="B404:J404"/>
    <mergeCell ref="B418:J418"/>
    <mergeCell ref="B433:J433"/>
    <mergeCell ref="B445:J445"/>
    <mergeCell ref="B526:J526"/>
    <mergeCell ref="B454:J454"/>
    <mergeCell ref="B475:J475"/>
    <mergeCell ref="B492:J492"/>
    <mergeCell ref="B505:J505"/>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6225-6A8F-4230-95F8-CC46382CC5C0}">
  <dimension ref="B1:J169"/>
  <sheetViews>
    <sheetView zoomScale="115" zoomScaleNormal="115" workbookViewId="0"/>
  </sheetViews>
  <sheetFormatPr defaultColWidth="9.140625" defaultRowHeight="18.75" x14ac:dyDescent="0.3"/>
  <cols>
    <col min="1" max="1" width="4.42578125" style="1" customWidth="1"/>
    <col min="2" max="2" width="45.140625" style="1" bestFit="1" customWidth="1"/>
    <col min="3" max="10" width="18.140625" style="1" customWidth="1"/>
    <col min="11" max="16384" width="9.140625" style="1"/>
  </cols>
  <sheetData>
    <row r="1" spans="2:10" ht="19.5" thickBot="1" x14ac:dyDescent="0.35"/>
    <row r="2" spans="2:10" ht="99.75" customHeight="1" thickBot="1" x14ac:dyDescent="0.35">
      <c r="B2" s="161" t="s">
        <v>834</v>
      </c>
      <c r="C2" s="162"/>
      <c r="D2" s="162"/>
      <c r="E2" s="162"/>
      <c r="F2" s="162"/>
      <c r="G2" s="162"/>
      <c r="H2" s="162"/>
      <c r="I2" s="162"/>
      <c r="J2" s="163"/>
    </row>
    <row r="5" spans="2:10" ht="19.5" thickBot="1" x14ac:dyDescent="0.35">
      <c r="B5" s="1" t="s">
        <v>209</v>
      </c>
    </row>
    <row r="6" spans="2:10" ht="19.5" thickBot="1" x14ac:dyDescent="0.35">
      <c r="B6" s="29" t="s">
        <v>210</v>
      </c>
      <c r="C6" s="30" t="s">
        <v>153</v>
      </c>
      <c r="D6" s="30" t="s">
        <v>211</v>
      </c>
      <c r="E6" s="30" t="s">
        <v>212</v>
      </c>
      <c r="F6" s="31" t="s">
        <v>213</v>
      </c>
    </row>
    <row r="7" spans="2:10" x14ac:dyDescent="0.3">
      <c r="B7" s="32" t="s">
        <v>214</v>
      </c>
      <c r="C7" s="33" t="s">
        <v>215</v>
      </c>
      <c r="D7" s="33" t="s">
        <v>215</v>
      </c>
      <c r="E7" s="33" t="s">
        <v>216</v>
      </c>
      <c r="F7" s="34" t="s">
        <v>215</v>
      </c>
    </row>
    <row r="8" spans="2:10" x14ac:dyDescent="0.3">
      <c r="B8" s="35" t="s">
        <v>217</v>
      </c>
      <c r="C8" s="3">
        <v>1</v>
      </c>
      <c r="D8" s="3">
        <v>2</v>
      </c>
      <c r="E8" s="3">
        <v>1</v>
      </c>
      <c r="F8" s="36">
        <v>2</v>
      </c>
    </row>
    <row r="9" spans="2:10" x14ac:dyDescent="0.3">
      <c r="B9" s="35" t="s">
        <v>218</v>
      </c>
      <c r="C9" s="19" t="s">
        <v>220</v>
      </c>
      <c r="D9" s="19" t="s">
        <v>220</v>
      </c>
      <c r="E9" s="19" t="s">
        <v>220</v>
      </c>
      <c r="F9" s="37" t="s">
        <v>239</v>
      </c>
    </row>
    <row r="10" spans="2:10" x14ac:dyDescent="0.3">
      <c r="B10" s="35" t="s">
        <v>185</v>
      </c>
      <c r="C10" s="19" t="s">
        <v>236</v>
      </c>
      <c r="D10" s="19" t="s">
        <v>221</v>
      </c>
      <c r="E10" s="19" t="s">
        <v>221</v>
      </c>
      <c r="F10" s="37" t="s">
        <v>222</v>
      </c>
    </row>
    <row r="11" spans="2:10" x14ac:dyDescent="0.3">
      <c r="B11" s="35" t="s">
        <v>223</v>
      </c>
      <c r="C11" s="3">
        <v>3</v>
      </c>
      <c r="D11" s="3">
        <v>3</v>
      </c>
      <c r="E11" s="3">
        <v>3</v>
      </c>
      <c r="F11" s="36">
        <v>1</v>
      </c>
    </row>
    <row r="12" spans="2:10" x14ac:dyDescent="0.3">
      <c r="B12" s="35" t="s">
        <v>224</v>
      </c>
      <c r="C12" s="2"/>
      <c r="D12" s="2">
        <v>145000</v>
      </c>
      <c r="E12" s="2">
        <v>130000</v>
      </c>
      <c r="F12" s="38">
        <v>120000</v>
      </c>
    </row>
    <row r="13" spans="2:10" x14ac:dyDescent="0.3">
      <c r="B13" s="35" t="s">
        <v>225</v>
      </c>
      <c r="C13" s="2"/>
      <c r="D13" s="2"/>
      <c r="E13" s="2"/>
      <c r="F13" s="38"/>
    </row>
    <row r="14" spans="2:10" x14ac:dyDescent="0.3">
      <c r="B14" s="35" t="s">
        <v>226</v>
      </c>
      <c r="C14" s="2"/>
      <c r="D14" s="2"/>
      <c r="E14" s="2"/>
      <c r="F14" s="38"/>
    </row>
    <row r="15" spans="2:10" x14ac:dyDescent="0.3">
      <c r="B15" s="35" t="s">
        <v>227</v>
      </c>
      <c r="C15" s="2"/>
      <c r="D15" s="2"/>
      <c r="E15" s="2"/>
      <c r="F15" s="38"/>
    </row>
    <row r="16" spans="2:10" x14ac:dyDescent="0.3">
      <c r="B16" s="35" t="s">
        <v>228</v>
      </c>
      <c r="C16" s="2"/>
      <c r="D16" s="2"/>
      <c r="E16" s="2"/>
      <c r="F16" s="38"/>
    </row>
    <row r="17" spans="2:6" x14ac:dyDescent="0.3">
      <c r="B17" s="35" t="s">
        <v>229</v>
      </c>
      <c r="C17" s="2"/>
      <c r="D17" s="2"/>
      <c r="E17" s="2"/>
      <c r="F17" s="38"/>
    </row>
    <row r="18" spans="2:6" x14ac:dyDescent="0.3">
      <c r="B18" s="35" t="s">
        <v>230</v>
      </c>
      <c r="C18" s="2"/>
      <c r="D18" s="2"/>
      <c r="E18" s="2"/>
      <c r="F18" s="38"/>
    </row>
    <row r="19" spans="2:6" ht="19.5" thickBot="1" x14ac:dyDescent="0.35">
      <c r="B19" s="39" t="s">
        <v>231</v>
      </c>
      <c r="C19" s="40"/>
      <c r="D19" s="40"/>
      <c r="E19" s="40"/>
      <c r="F19" s="41"/>
    </row>
    <row r="22" spans="2:6" ht="19.5" thickBot="1" x14ac:dyDescent="0.35">
      <c r="B22" s="1" t="s">
        <v>232</v>
      </c>
    </row>
    <row r="23" spans="2:6" ht="38.25" thickBot="1" x14ac:dyDescent="0.35">
      <c r="B23" s="42" t="s">
        <v>233</v>
      </c>
      <c r="C23" s="125" t="s">
        <v>234</v>
      </c>
      <c r="D23" s="126" t="s">
        <v>235</v>
      </c>
    </row>
    <row r="24" spans="2:6" x14ac:dyDescent="0.3">
      <c r="B24" s="127" t="s">
        <v>221</v>
      </c>
      <c r="C24" s="45">
        <v>181500</v>
      </c>
      <c r="D24" s="46">
        <v>165000</v>
      </c>
    </row>
    <row r="25" spans="2:6" x14ac:dyDescent="0.3">
      <c r="B25" s="128" t="s">
        <v>236</v>
      </c>
      <c r="C25" s="3">
        <v>169400</v>
      </c>
      <c r="D25" s="36">
        <v>154000</v>
      </c>
    </row>
    <row r="26" spans="2:6" ht="19.5" thickBot="1" x14ac:dyDescent="0.35">
      <c r="B26" s="129" t="s">
        <v>222</v>
      </c>
      <c r="C26" s="47">
        <v>154000</v>
      </c>
      <c r="D26" s="48">
        <v>140000</v>
      </c>
    </row>
    <row r="29" spans="2:6" ht="19.5" thickBot="1" x14ac:dyDescent="0.35">
      <c r="B29" s="1" t="s">
        <v>237</v>
      </c>
    </row>
    <row r="30" spans="2:6" ht="38.25" thickBot="1" x14ac:dyDescent="0.35">
      <c r="B30" s="42" t="s">
        <v>218</v>
      </c>
      <c r="C30" s="44" t="s">
        <v>238</v>
      </c>
    </row>
    <row r="31" spans="2:6" x14ac:dyDescent="0.3">
      <c r="B31" s="32" t="s">
        <v>219</v>
      </c>
      <c r="C31" s="46">
        <v>120000</v>
      </c>
    </row>
    <row r="32" spans="2:6" x14ac:dyDescent="0.3">
      <c r="B32" s="35" t="s">
        <v>220</v>
      </c>
      <c r="C32" s="36">
        <v>147000</v>
      </c>
    </row>
    <row r="33" spans="2:5" ht="19.5" thickBot="1" x14ac:dyDescent="0.35">
      <c r="B33" s="39" t="s">
        <v>239</v>
      </c>
      <c r="C33" s="48">
        <v>183000</v>
      </c>
    </row>
    <row r="36" spans="2:5" ht="19.5" thickBot="1" x14ac:dyDescent="0.35">
      <c r="B36" s="1" t="s">
        <v>240</v>
      </c>
    </row>
    <row r="37" spans="2:5" ht="94.5" thickBot="1" x14ac:dyDescent="0.35">
      <c r="B37" s="42" t="s">
        <v>241</v>
      </c>
      <c r="C37" s="44" t="s">
        <v>242</v>
      </c>
      <c r="E37" s="98" t="s">
        <v>493</v>
      </c>
    </row>
    <row r="38" spans="2:5" x14ac:dyDescent="0.3">
      <c r="B38" s="32" t="s">
        <v>243</v>
      </c>
      <c r="C38" s="49">
        <v>-0.15</v>
      </c>
      <c r="D38" s="70"/>
      <c r="E38" s="99">
        <f>1*(1-20%)*(1-15%)</f>
        <v>0.68</v>
      </c>
    </row>
    <row r="39" spans="2:5" x14ac:dyDescent="0.3">
      <c r="B39" s="35" t="s">
        <v>244</v>
      </c>
      <c r="C39" s="50">
        <v>-0.2</v>
      </c>
      <c r="E39" s="99">
        <f>1*(1-20%)</f>
        <v>0.8</v>
      </c>
    </row>
    <row r="40" spans="2:5" ht="19.5" thickBot="1" x14ac:dyDescent="0.35">
      <c r="B40" s="39" t="s">
        <v>245</v>
      </c>
      <c r="C40" s="51">
        <v>0</v>
      </c>
      <c r="E40" s="99">
        <v>1</v>
      </c>
    </row>
    <row r="43" spans="2:5" ht="19.5" thickBot="1" x14ac:dyDescent="0.35">
      <c r="B43" s="1" t="s">
        <v>246</v>
      </c>
    </row>
    <row r="44" spans="2:5" ht="75.75" thickBot="1" x14ac:dyDescent="0.35">
      <c r="B44" s="42" t="s">
        <v>217</v>
      </c>
      <c r="C44" s="44" t="s">
        <v>247</v>
      </c>
    </row>
    <row r="45" spans="2:5" x14ac:dyDescent="0.3">
      <c r="B45" s="52">
        <v>1</v>
      </c>
      <c r="C45" s="49">
        <v>0</v>
      </c>
    </row>
    <row r="46" spans="2:5" x14ac:dyDescent="0.3">
      <c r="B46" s="53">
        <v>2</v>
      </c>
      <c r="C46" s="50">
        <v>-0.05</v>
      </c>
    </row>
    <row r="47" spans="2:5" ht="19.5" thickBot="1" x14ac:dyDescent="0.35">
      <c r="B47" s="54">
        <v>3</v>
      </c>
      <c r="C47" s="51">
        <v>-0.1</v>
      </c>
    </row>
    <row r="54" spans="2:9" ht="19.5" thickBot="1" x14ac:dyDescent="0.35"/>
    <row r="55" spans="2:9" ht="19.5" thickBot="1" x14ac:dyDescent="0.35">
      <c r="B55" s="55" t="s">
        <v>210</v>
      </c>
      <c r="C55" s="56" t="s">
        <v>153</v>
      </c>
      <c r="D55" s="56" t="s">
        <v>211</v>
      </c>
      <c r="E55" s="56" t="s">
        <v>212</v>
      </c>
      <c r="F55" s="57" t="s">
        <v>213</v>
      </c>
    </row>
    <row r="56" spans="2:9" x14ac:dyDescent="0.3">
      <c r="B56" s="58" t="s">
        <v>248</v>
      </c>
      <c r="C56" s="59"/>
      <c r="D56" s="60">
        <v>-0.05</v>
      </c>
      <c r="E56" s="60">
        <v>-0.05</v>
      </c>
      <c r="F56" s="61">
        <v>-0.05</v>
      </c>
    </row>
    <row r="57" spans="2:9" x14ac:dyDescent="0.3">
      <c r="B57" s="62" t="s">
        <v>249</v>
      </c>
      <c r="C57" s="63"/>
      <c r="D57" s="64">
        <f>1+D56</f>
        <v>0.95</v>
      </c>
      <c r="E57" s="64">
        <f t="shared" ref="E57:F57" si="0">1+E56</f>
        <v>0.95</v>
      </c>
      <c r="F57" s="65">
        <f t="shared" si="0"/>
        <v>0.95</v>
      </c>
    </row>
    <row r="58" spans="2:9" x14ac:dyDescent="0.3">
      <c r="B58" s="66" t="s">
        <v>250</v>
      </c>
      <c r="C58" s="17" t="s">
        <v>251</v>
      </c>
      <c r="D58" s="17" t="s">
        <v>251</v>
      </c>
      <c r="E58" s="17" t="s">
        <v>252</v>
      </c>
      <c r="F58" s="67" t="s">
        <v>251</v>
      </c>
    </row>
    <row r="59" spans="2:9" x14ac:dyDescent="0.3">
      <c r="B59" s="62" t="s">
        <v>253</v>
      </c>
      <c r="C59" s="17">
        <v>169400</v>
      </c>
      <c r="D59" s="17"/>
      <c r="E59" s="17">
        <v>165000</v>
      </c>
      <c r="F59" s="67"/>
    </row>
    <row r="60" spans="2:9" x14ac:dyDescent="0.3">
      <c r="B60" s="62" t="s">
        <v>254</v>
      </c>
      <c r="C60" s="63"/>
      <c r="D60" s="148">
        <v>1</v>
      </c>
      <c r="E60" s="148">
        <f>C59/E59</f>
        <v>1.0266666666666666</v>
      </c>
      <c r="F60" s="149">
        <v>1</v>
      </c>
      <c r="G60" s="68" t="s">
        <v>255</v>
      </c>
      <c r="H60" s="21" t="s">
        <v>146</v>
      </c>
      <c r="I60" s="21" t="s">
        <v>256</v>
      </c>
    </row>
    <row r="61" spans="2:9" x14ac:dyDescent="0.3">
      <c r="B61" s="66" t="s">
        <v>257</v>
      </c>
      <c r="C61" s="16">
        <v>1</v>
      </c>
      <c r="D61" s="16">
        <v>2</v>
      </c>
      <c r="E61" s="16">
        <v>1</v>
      </c>
      <c r="F61" s="69">
        <v>2</v>
      </c>
      <c r="G61" s="20">
        <v>1</v>
      </c>
      <c r="H61" s="10">
        <v>0</v>
      </c>
      <c r="I61" s="1">
        <v>1</v>
      </c>
    </row>
    <row r="62" spans="2:9" x14ac:dyDescent="0.3">
      <c r="B62" s="62" t="s">
        <v>253</v>
      </c>
      <c r="C62" s="17">
        <v>1</v>
      </c>
      <c r="D62" s="17">
        <v>0.95</v>
      </c>
      <c r="E62" s="17"/>
      <c r="F62" s="67">
        <v>0.95</v>
      </c>
      <c r="G62" s="20">
        <v>2</v>
      </c>
      <c r="H62" s="10">
        <v>-0.05</v>
      </c>
      <c r="I62" s="1">
        <f>I61*(1+H62)</f>
        <v>0.95</v>
      </c>
    </row>
    <row r="63" spans="2:9" x14ac:dyDescent="0.3">
      <c r="B63" s="62" t="s">
        <v>258</v>
      </c>
      <c r="C63" s="63"/>
      <c r="D63" s="148">
        <f>C62/D62</f>
        <v>1.0526315789473684</v>
      </c>
      <c r="E63" s="148">
        <v>1</v>
      </c>
      <c r="F63" s="149">
        <f>C62/F62</f>
        <v>1.0526315789473684</v>
      </c>
      <c r="G63" s="20">
        <v>3</v>
      </c>
      <c r="H63" s="10">
        <v>-0.1</v>
      </c>
      <c r="I63" s="1">
        <f>I61*(1+H63)</f>
        <v>0.9</v>
      </c>
    </row>
    <row r="64" spans="2:9" x14ac:dyDescent="0.3">
      <c r="B64" s="66" t="s">
        <v>259</v>
      </c>
      <c r="C64" s="17" t="s">
        <v>220</v>
      </c>
      <c r="D64" s="17" t="s">
        <v>220</v>
      </c>
      <c r="E64" s="17" t="s">
        <v>220</v>
      </c>
      <c r="F64" s="67" t="s">
        <v>239</v>
      </c>
    </row>
    <row r="65" spans="2:10" x14ac:dyDescent="0.3">
      <c r="B65" s="62" t="s">
        <v>253</v>
      </c>
      <c r="C65" s="17">
        <v>147000</v>
      </c>
      <c r="D65" s="17"/>
      <c r="E65" s="17"/>
      <c r="F65" s="67">
        <v>183000</v>
      </c>
    </row>
    <row r="66" spans="2:10" x14ac:dyDescent="0.3">
      <c r="B66" s="62" t="s">
        <v>260</v>
      </c>
      <c r="C66" s="63"/>
      <c r="D66" s="148">
        <v>1</v>
      </c>
      <c r="E66" s="148">
        <v>1</v>
      </c>
      <c r="F66" s="149">
        <f>C65/F65</f>
        <v>0.80327868852459017</v>
      </c>
    </row>
    <row r="67" spans="2:10" x14ac:dyDescent="0.3">
      <c r="B67" s="66" t="s">
        <v>542</v>
      </c>
      <c r="C67" s="17" t="s">
        <v>236</v>
      </c>
      <c r="D67" s="17" t="s">
        <v>221</v>
      </c>
      <c r="E67" s="17" t="s">
        <v>221</v>
      </c>
      <c r="F67" s="67" t="s">
        <v>222</v>
      </c>
    </row>
    <row r="68" spans="2:10" x14ac:dyDescent="0.3">
      <c r="B68" s="62" t="s">
        <v>253</v>
      </c>
      <c r="C68" s="17">
        <v>169400</v>
      </c>
      <c r="D68" s="17">
        <v>181500</v>
      </c>
      <c r="E68" s="17"/>
      <c r="F68" s="67">
        <v>154000</v>
      </c>
      <c r="G68" s="68" t="s">
        <v>241</v>
      </c>
      <c r="H68" s="21" t="s">
        <v>146</v>
      </c>
      <c r="I68" s="21" t="s">
        <v>256</v>
      </c>
    </row>
    <row r="69" spans="2:10" x14ac:dyDescent="0.3">
      <c r="B69" s="62" t="s">
        <v>262</v>
      </c>
      <c r="C69" s="63"/>
      <c r="D69" s="148">
        <f>C68/D68</f>
        <v>0.93333333333333335</v>
      </c>
      <c r="E69" s="148">
        <v>1</v>
      </c>
      <c r="F69" s="149">
        <f>C68/F68</f>
        <v>1.1000000000000001</v>
      </c>
      <c r="G69" s="20">
        <v>1</v>
      </c>
      <c r="H69" s="10">
        <v>-0.15</v>
      </c>
      <c r="I69" s="70">
        <f>I70*(1+H69)</f>
        <v>0.68</v>
      </c>
      <c r="J69" s="70"/>
    </row>
    <row r="70" spans="2:10" x14ac:dyDescent="0.3">
      <c r="B70" s="66" t="s">
        <v>263</v>
      </c>
      <c r="C70" s="16">
        <v>3</v>
      </c>
      <c r="D70" s="16">
        <v>3</v>
      </c>
      <c r="E70" s="16">
        <v>3</v>
      </c>
      <c r="F70" s="69">
        <v>1</v>
      </c>
      <c r="G70" s="20">
        <v>2</v>
      </c>
      <c r="H70" s="10">
        <v>-0.2</v>
      </c>
      <c r="I70" s="1">
        <f>I71*(1+H70)</f>
        <v>0.8</v>
      </c>
    </row>
    <row r="71" spans="2:10" x14ac:dyDescent="0.3">
      <c r="B71" s="62" t="s">
        <v>253</v>
      </c>
      <c r="C71" s="17">
        <v>1</v>
      </c>
      <c r="D71" s="17"/>
      <c r="E71" s="17"/>
      <c r="F71" s="67">
        <f>I69</f>
        <v>0.68</v>
      </c>
      <c r="G71" s="20">
        <v>3</v>
      </c>
      <c r="H71" s="10">
        <v>0</v>
      </c>
      <c r="I71" s="1">
        <v>1</v>
      </c>
    </row>
    <row r="72" spans="2:10" x14ac:dyDescent="0.3">
      <c r="B72" s="62" t="s">
        <v>264</v>
      </c>
      <c r="C72" s="63"/>
      <c r="D72" s="64">
        <v>1</v>
      </c>
      <c r="E72" s="64">
        <v>1</v>
      </c>
      <c r="F72" s="65">
        <f>C71/F71</f>
        <v>1.4705882352941175</v>
      </c>
    </row>
    <row r="73" spans="2:10" x14ac:dyDescent="0.3">
      <c r="B73" s="35" t="s">
        <v>265</v>
      </c>
      <c r="C73" s="17"/>
      <c r="D73" s="17">
        <f>D57*D60*D63*D66*D69*D72</f>
        <v>0.93333333333333324</v>
      </c>
      <c r="E73" s="17">
        <f>E57*E60*E63*E66*E69*E72</f>
        <v>0.97533333333333327</v>
      </c>
      <c r="F73" s="67">
        <f>F57*F60*F63*F66*F69*F72</f>
        <v>1.2994214079074251</v>
      </c>
    </row>
    <row r="74" spans="2:10" x14ac:dyDescent="0.3">
      <c r="B74" s="35" t="s">
        <v>266</v>
      </c>
      <c r="C74" s="17"/>
      <c r="D74" s="17">
        <v>145000</v>
      </c>
      <c r="E74" s="17">
        <v>130000</v>
      </c>
      <c r="F74" s="67">
        <v>120000</v>
      </c>
    </row>
    <row r="75" spans="2:10" x14ac:dyDescent="0.3">
      <c r="B75" s="35" t="s">
        <v>179</v>
      </c>
      <c r="C75" s="17"/>
      <c r="D75" s="17">
        <f>D73*D74</f>
        <v>135333.33333333331</v>
      </c>
      <c r="E75" s="17">
        <f>E73*E74</f>
        <v>126793.33333333333</v>
      </c>
      <c r="F75" s="67">
        <f>F73*F74</f>
        <v>155930.56894889101</v>
      </c>
    </row>
    <row r="76" spans="2:10" x14ac:dyDescent="0.3">
      <c r="B76" s="35" t="s">
        <v>267</v>
      </c>
      <c r="C76" s="17"/>
      <c r="D76" s="131">
        <f>1/3</f>
        <v>0.33333333333333331</v>
      </c>
      <c r="E76" s="17">
        <f>1/3</f>
        <v>0.33333333333333331</v>
      </c>
      <c r="F76" s="67">
        <f>1/3</f>
        <v>0.33333333333333331</v>
      </c>
    </row>
    <row r="77" spans="2:10" x14ac:dyDescent="0.3">
      <c r="B77" s="35"/>
      <c r="C77" s="17">
        <f>D77+E77+F77</f>
        <v>139352.41187185253</v>
      </c>
      <c r="D77" s="17">
        <f>D75*D76</f>
        <v>45111.111111111102</v>
      </c>
      <c r="E77" s="17">
        <f>E75*E76</f>
        <v>42264.444444444438</v>
      </c>
      <c r="F77" s="67">
        <f>F75*F76</f>
        <v>51976.856316297002</v>
      </c>
    </row>
    <row r="78" spans="2:10" x14ac:dyDescent="0.3">
      <c r="B78" s="35"/>
      <c r="C78" s="17" t="s">
        <v>268</v>
      </c>
      <c r="D78" s="17"/>
      <c r="E78" s="17"/>
      <c r="F78" s="67"/>
    </row>
    <row r="79" spans="2:10" x14ac:dyDescent="0.3">
      <c r="B79" s="35"/>
      <c r="C79" s="17">
        <f>(D75+E75+F75)/3</f>
        <v>139352.41187185256</v>
      </c>
      <c r="D79" s="17"/>
      <c r="E79" s="17"/>
      <c r="F79" s="67"/>
    </row>
    <row r="80" spans="2:10" x14ac:dyDescent="0.3">
      <c r="B80" s="35"/>
      <c r="C80" s="17" t="s">
        <v>268</v>
      </c>
      <c r="D80" s="17"/>
      <c r="E80" s="17"/>
      <c r="F80" s="67"/>
    </row>
    <row r="81" spans="2:10" x14ac:dyDescent="0.3">
      <c r="B81" s="35" t="s">
        <v>269</v>
      </c>
      <c r="C81" s="17">
        <f>AVERAGE(D75:F75)</f>
        <v>139352.41187185256</v>
      </c>
      <c r="D81" s="17"/>
      <c r="E81" s="17"/>
      <c r="F81" s="67"/>
    </row>
    <row r="82" spans="2:10" x14ac:dyDescent="0.3">
      <c r="B82" s="35" t="s">
        <v>665</v>
      </c>
      <c r="C82" s="2">
        <v>60</v>
      </c>
      <c r="D82" s="2"/>
      <c r="E82" s="2"/>
      <c r="F82" s="38"/>
    </row>
    <row r="83" spans="2:10" x14ac:dyDescent="0.3">
      <c r="B83" s="35" t="s">
        <v>80</v>
      </c>
      <c r="C83" s="2">
        <f>C81*C82</f>
        <v>8361144.7123111533</v>
      </c>
      <c r="D83" s="2"/>
      <c r="E83" s="2"/>
      <c r="F83" s="38"/>
    </row>
    <row r="84" spans="2:10" ht="19.5" thickBot="1" x14ac:dyDescent="0.35">
      <c r="B84" s="39" t="s">
        <v>270</v>
      </c>
      <c r="C84" s="86">
        <f>ROUND(C83,-4)</f>
        <v>8360000</v>
      </c>
      <c r="D84" s="40"/>
      <c r="E84" s="40"/>
      <c r="F84" s="41"/>
    </row>
    <row r="88" spans="2:10" ht="19.5" thickBot="1" x14ac:dyDescent="0.35"/>
    <row r="89" spans="2:10" ht="117" customHeight="1" thickBot="1" x14ac:dyDescent="0.35">
      <c r="B89" s="161" t="s">
        <v>835</v>
      </c>
      <c r="C89" s="162"/>
      <c r="D89" s="162"/>
      <c r="E89" s="162"/>
      <c r="F89" s="162"/>
      <c r="G89" s="162"/>
      <c r="H89" s="162"/>
      <c r="I89" s="162"/>
      <c r="J89" s="163"/>
    </row>
    <row r="92" spans="2:10" ht="19.5" thickBot="1" x14ac:dyDescent="0.35">
      <c r="B92" s="1" t="s">
        <v>209</v>
      </c>
    </row>
    <row r="93" spans="2:10" ht="19.5" thickBot="1" x14ac:dyDescent="0.35">
      <c r="B93" s="29" t="s">
        <v>210</v>
      </c>
      <c r="C93" s="30" t="s">
        <v>153</v>
      </c>
      <c r="D93" s="30" t="s">
        <v>211</v>
      </c>
      <c r="E93" s="30" t="s">
        <v>212</v>
      </c>
      <c r="F93" s="31" t="s">
        <v>213</v>
      </c>
    </row>
    <row r="94" spans="2:10" x14ac:dyDescent="0.3">
      <c r="B94" s="32" t="s">
        <v>214</v>
      </c>
      <c r="C94" s="33" t="s">
        <v>216</v>
      </c>
      <c r="D94" s="33" t="s">
        <v>215</v>
      </c>
      <c r="E94" s="33" t="s">
        <v>216</v>
      </c>
      <c r="F94" s="34" t="s">
        <v>215</v>
      </c>
    </row>
    <row r="95" spans="2:10" x14ac:dyDescent="0.3">
      <c r="B95" s="35" t="s">
        <v>217</v>
      </c>
      <c r="C95" s="3">
        <v>1</v>
      </c>
      <c r="D95" s="3">
        <v>2</v>
      </c>
      <c r="E95" s="3">
        <v>1</v>
      </c>
      <c r="F95" s="36">
        <v>2</v>
      </c>
    </row>
    <row r="96" spans="2:10" x14ac:dyDescent="0.3">
      <c r="B96" s="35" t="s">
        <v>218</v>
      </c>
      <c r="C96" s="19" t="s">
        <v>239</v>
      </c>
      <c r="D96" s="19" t="s">
        <v>220</v>
      </c>
      <c r="E96" s="19" t="s">
        <v>220</v>
      </c>
      <c r="F96" s="37" t="s">
        <v>239</v>
      </c>
    </row>
    <row r="97" spans="2:6" x14ac:dyDescent="0.3">
      <c r="B97" s="35" t="s">
        <v>185</v>
      </c>
      <c r="C97" s="19" t="s">
        <v>221</v>
      </c>
      <c r="D97" s="19" t="s">
        <v>221</v>
      </c>
      <c r="E97" s="19" t="s">
        <v>221</v>
      </c>
      <c r="F97" s="37" t="s">
        <v>222</v>
      </c>
    </row>
    <row r="98" spans="2:6" x14ac:dyDescent="0.3">
      <c r="B98" s="35" t="s">
        <v>223</v>
      </c>
      <c r="C98" s="3">
        <v>3</v>
      </c>
      <c r="D98" s="3">
        <v>3</v>
      </c>
      <c r="E98" s="3">
        <v>3</v>
      </c>
      <c r="F98" s="36">
        <v>1</v>
      </c>
    </row>
    <row r="99" spans="2:6" x14ac:dyDescent="0.3">
      <c r="B99" s="35" t="s">
        <v>224</v>
      </c>
      <c r="C99" s="2"/>
      <c r="D99" s="2">
        <v>145000</v>
      </c>
      <c r="E99" s="2">
        <v>130000</v>
      </c>
      <c r="F99" s="38">
        <v>120000</v>
      </c>
    </row>
    <row r="100" spans="2:6" x14ac:dyDescent="0.3">
      <c r="B100" s="35" t="s">
        <v>225</v>
      </c>
      <c r="C100" s="2"/>
      <c r="D100" s="2"/>
      <c r="E100" s="2"/>
      <c r="F100" s="38"/>
    </row>
    <row r="101" spans="2:6" x14ac:dyDescent="0.3">
      <c r="B101" s="35" t="s">
        <v>226</v>
      </c>
      <c r="C101" s="2"/>
      <c r="D101" s="2"/>
      <c r="E101" s="2"/>
      <c r="F101" s="38"/>
    </row>
    <row r="102" spans="2:6" x14ac:dyDescent="0.3">
      <c r="B102" s="35" t="s">
        <v>227</v>
      </c>
      <c r="C102" s="2"/>
      <c r="D102" s="2"/>
      <c r="E102" s="2"/>
      <c r="F102" s="38"/>
    </row>
    <row r="103" spans="2:6" x14ac:dyDescent="0.3">
      <c r="B103" s="35" t="s">
        <v>228</v>
      </c>
      <c r="C103" s="2"/>
      <c r="D103" s="2"/>
      <c r="E103" s="2"/>
      <c r="F103" s="38"/>
    </row>
    <row r="104" spans="2:6" x14ac:dyDescent="0.3">
      <c r="B104" s="35" t="s">
        <v>229</v>
      </c>
      <c r="C104" s="2"/>
      <c r="D104" s="2"/>
      <c r="E104" s="2"/>
      <c r="F104" s="38"/>
    </row>
    <row r="105" spans="2:6" x14ac:dyDescent="0.3">
      <c r="B105" s="35" t="s">
        <v>230</v>
      </c>
      <c r="C105" s="2"/>
      <c r="D105" s="2"/>
      <c r="E105" s="2"/>
      <c r="F105" s="38"/>
    </row>
    <row r="106" spans="2:6" ht="19.5" thickBot="1" x14ac:dyDescent="0.35">
      <c r="B106" s="39" t="s">
        <v>231</v>
      </c>
      <c r="C106" s="40"/>
      <c r="D106" s="40"/>
      <c r="E106" s="40"/>
      <c r="F106" s="41"/>
    </row>
    <row r="109" spans="2:6" ht="19.5" thickBot="1" x14ac:dyDescent="0.35">
      <c r="B109" s="1" t="s">
        <v>232</v>
      </c>
    </row>
    <row r="110" spans="2:6" ht="38.25" thickBot="1" x14ac:dyDescent="0.35">
      <c r="B110" s="42" t="s">
        <v>233</v>
      </c>
      <c r="C110" s="125" t="s">
        <v>234</v>
      </c>
      <c r="D110" s="126" t="s">
        <v>235</v>
      </c>
    </row>
    <row r="111" spans="2:6" x14ac:dyDescent="0.3">
      <c r="B111" s="127" t="s">
        <v>221</v>
      </c>
      <c r="C111" s="45">
        <v>180200</v>
      </c>
      <c r="D111" s="46">
        <v>159800</v>
      </c>
    </row>
    <row r="112" spans="2:6" x14ac:dyDescent="0.3">
      <c r="B112" s="128" t="s">
        <v>236</v>
      </c>
      <c r="C112" s="3">
        <v>165000</v>
      </c>
      <c r="D112" s="36">
        <v>152400</v>
      </c>
    </row>
    <row r="113" spans="2:5" ht="19.5" thickBot="1" x14ac:dyDescent="0.35">
      <c r="B113" s="129" t="s">
        <v>222</v>
      </c>
      <c r="C113" s="47">
        <v>149700</v>
      </c>
      <c r="D113" s="48">
        <v>137800</v>
      </c>
    </row>
    <row r="116" spans="2:5" ht="19.5" thickBot="1" x14ac:dyDescent="0.35">
      <c r="B116" s="1" t="s">
        <v>237</v>
      </c>
    </row>
    <row r="117" spans="2:5" ht="38.25" thickBot="1" x14ac:dyDescent="0.35">
      <c r="B117" s="42" t="s">
        <v>218</v>
      </c>
      <c r="C117" s="44" t="s">
        <v>238</v>
      </c>
    </row>
    <row r="118" spans="2:5" x14ac:dyDescent="0.3">
      <c r="B118" s="32" t="s">
        <v>219</v>
      </c>
      <c r="C118" s="46">
        <v>124300</v>
      </c>
    </row>
    <row r="119" spans="2:5" x14ac:dyDescent="0.3">
      <c r="B119" s="35" t="s">
        <v>220</v>
      </c>
      <c r="C119" s="36">
        <v>149800</v>
      </c>
    </row>
    <row r="120" spans="2:5" ht="19.5" thickBot="1" x14ac:dyDescent="0.35">
      <c r="B120" s="39" t="s">
        <v>239</v>
      </c>
      <c r="C120" s="48">
        <v>187400</v>
      </c>
    </row>
    <row r="123" spans="2:5" ht="19.5" thickBot="1" x14ac:dyDescent="0.35">
      <c r="B123" s="1" t="s">
        <v>240</v>
      </c>
    </row>
    <row r="124" spans="2:5" ht="94.5" thickBot="1" x14ac:dyDescent="0.35">
      <c r="B124" s="42" t="s">
        <v>241</v>
      </c>
      <c r="C124" s="44" t="s">
        <v>242</v>
      </c>
      <c r="E124" s="98" t="s">
        <v>493</v>
      </c>
    </row>
    <row r="125" spans="2:5" x14ac:dyDescent="0.3">
      <c r="B125" s="32" t="s">
        <v>243</v>
      </c>
      <c r="C125" s="49">
        <v>-0.15</v>
      </c>
      <c r="D125" s="70"/>
      <c r="E125" s="99">
        <f>1*(1-12%)*(1-15%)</f>
        <v>0.748</v>
      </c>
    </row>
    <row r="126" spans="2:5" x14ac:dyDescent="0.3">
      <c r="B126" s="35" t="s">
        <v>244</v>
      </c>
      <c r="C126" s="50">
        <v>-0.12</v>
      </c>
      <c r="E126" s="99">
        <f>1*(1-12%)</f>
        <v>0.88</v>
      </c>
    </row>
    <row r="127" spans="2:5" ht="19.5" thickBot="1" x14ac:dyDescent="0.35">
      <c r="B127" s="39" t="s">
        <v>245</v>
      </c>
      <c r="C127" s="51">
        <v>0</v>
      </c>
      <c r="E127" s="99">
        <v>1</v>
      </c>
    </row>
    <row r="130" spans="2:6" ht="19.5" thickBot="1" x14ac:dyDescent="0.35">
      <c r="B130" s="1" t="s">
        <v>246</v>
      </c>
    </row>
    <row r="131" spans="2:6" ht="75.75" thickBot="1" x14ac:dyDescent="0.35">
      <c r="B131" s="42" t="s">
        <v>217</v>
      </c>
      <c r="C131" s="44" t="s">
        <v>247</v>
      </c>
    </row>
    <row r="132" spans="2:6" x14ac:dyDescent="0.3">
      <c r="B132" s="52">
        <v>1</v>
      </c>
      <c r="C132" s="49">
        <v>0</v>
      </c>
    </row>
    <row r="133" spans="2:6" x14ac:dyDescent="0.3">
      <c r="B133" s="53">
        <v>2</v>
      </c>
      <c r="C133" s="50">
        <v>-0.06</v>
      </c>
    </row>
    <row r="134" spans="2:6" ht="19.5" thickBot="1" x14ac:dyDescent="0.35">
      <c r="B134" s="54">
        <v>3</v>
      </c>
      <c r="C134" s="51">
        <v>-0.14000000000000001</v>
      </c>
    </row>
    <row r="141" spans="2:6" ht="19.5" thickBot="1" x14ac:dyDescent="0.35"/>
    <row r="142" spans="2:6" ht="19.5" thickBot="1" x14ac:dyDescent="0.35">
      <c r="B142" s="55" t="s">
        <v>210</v>
      </c>
      <c r="C142" s="56" t="s">
        <v>153</v>
      </c>
      <c r="D142" s="56" t="s">
        <v>211</v>
      </c>
      <c r="E142" s="56" t="s">
        <v>212</v>
      </c>
      <c r="F142" s="57" t="s">
        <v>213</v>
      </c>
    </row>
    <row r="143" spans="2:6" x14ac:dyDescent="0.3">
      <c r="B143" s="58" t="s">
        <v>248</v>
      </c>
      <c r="C143" s="59"/>
      <c r="D143" s="60">
        <v>-0.06</v>
      </c>
      <c r="E143" s="60">
        <v>-0.06</v>
      </c>
      <c r="F143" s="61">
        <v>-0.06</v>
      </c>
    </row>
    <row r="144" spans="2:6" x14ac:dyDescent="0.3">
      <c r="B144" s="62" t="s">
        <v>249</v>
      </c>
      <c r="C144" s="63"/>
      <c r="D144" s="64">
        <f>1+D143</f>
        <v>0.94</v>
      </c>
      <c r="E144" s="64">
        <f t="shared" ref="E144:F144" si="1">1+E143</f>
        <v>0.94</v>
      </c>
      <c r="F144" s="65">
        <f t="shared" si="1"/>
        <v>0.94</v>
      </c>
    </row>
    <row r="145" spans="2:10" x14ac:dyDescent="0.3">
      <c r="B145" s="66" t="s">
        <v>250</v>
      </c>
      <c r="C145" s="17" t="s">
        <v>252</v>
      </c>
      <c r="D145" s="17" t="s">
        <v>251</v>
      </c>
      <c r="E145" s="17" t="s">
        <v>252</v>
      </c>
      <c r="F145" s="67" t="s">
        <v>251</v>
      </c>
    </row>
    <row r="146" spans="2:10" x14ac:dyDescent="0.3">
      <c r="B146" s="62" t="s">
        <v>253</v>
      </c>
      <c r="C146" s="17">
        <v>159800</v>
      </c>
      <c r="D146" s="17">
        <v>180200</v>
      </c>
      <c r="E146" s="17">
        <v>159800</v>
      </c>
      <c r="F146" s="67">
        <v>149700</v>
      </c>
    </row>
    <row r="147" spans="2:10" x14ac:dyDescent="0.3">
      <c r="B147" s="62" t="s">
        <v>254</v>
      </c>
      <c r="C147" s="63"/>
      <c r="D147" s="148">
        <f>C146/D146</f>
        <v>0.8867924528301887</v>
      </c>
      <c r="E147" s="148">
        <f>C146/E146</f>
        <v>1</v>
      </c>
      <c r="F147" s="149">
        <f>C146/F146</f>
        <v>1.0674682698730795</v>
      </c>
      <c r="G147" s="68" t="s">
        <v>255</v>
      </c>
      <c r="H147" s="21" t="s">
        <v>146</v>
      </c>
      <c r="I147" s="21" t="s">
        <v>256</v>
      </c>
    </row>
    <row r="148" spans="2:10" x14ac:dyDescent="0.3">
      <c r="B148" s="66" t="s">
        <v>257</v>
      </c>
      <c r="C148" s="16">
        <v>1</v>
      </c>
      <c r="D148" s="16">
        <v>2</v>
      </c>
      <c r="E148" s="16">
        <v>1</v>
      </c>
      <c r="F148" s="69">
        <v>2</v>
      </c>
      <c r="G148" s="20">
        <v>1</v>
      </c>
      <c r="H148" s="10">
        <v>0</v>
      </c>
      <c r="I148" s="1">
        <v>1</v>
      </c>
    </row>
    <row r="149" spans="2:10" x14ac:dyDescent="0.3">
      <c r="B149" s="62" t="s">
        <v>253</v>
      </c>
      <c r="C149" s="17">
        <v>1</v>
      </c>
      <c r="D149" s="17">
        <v>0.94</v>
      </c>
      <c r="E149" s="17">
        <v>1</v>
      </c>
      <c r="F149" s="67">
        <v>0.94</v>
      </c>
      <c r="G149" s="20">
        <v>2</v>
      </c>
      <c r="H149" s="10">
        <v>-0.06</v>
      </c>
      <c r="I149" s="1">
        <f>I148*(1+H149)</f>
        <v>0.94</v>
      </c>
    </row>
    <row r="150" spans="2:10" x14ac:dyDescent="0.3">
      <c r="B150" s="62" t="s">
        <v>258</v>
      </c>
      <c r="C150" s="63"/>
      <c r="D150" s="148">
        <f>C149/D149</f>
        <v>1.0638297872340425</v>
      </c>
      <c r="E150" s="148">
        <v>1</v>
      </c>
      <c r="F150" s="149">
        <f>C149/F149</f>
        <v>1.0638297872340425</v>
      </c>
      <c r="G150" s="20">
        <v>3</v>
      </c>
      <c r="H150" s="10">
        <v>-0.14000000000000001</v>
      </c>
      <c r="I150" s="1">
        <f>I148*(1+H150)</f>
        <v>0.86</v>
      </c>
    </row>
    <row r="151" spans="2:10" x14ac:dyDescent="0.3">
      <c r="B151" s="66" t="s">
        <v>259</v>
      </c>
      <c r="C151" s="17" t="s">
        <v>239</v>
      </c>
      <c r="D151" s="17" t="s">
        <v>220</v>
      </c>
      <c r="E151" s="17" t="s">
        <v>220</v>
      </c>
      <c r="F151" s="67" t="s">
        <v>239</v>
      </c>
    </row>
    <row r="152" spans="2:10" x14ac:dyDescent="0.3">
      <c r="B152" s="62" t="s">
        <v>253</v>
      </c>
      <c r="C152" s="17">
        <v>187400</v>
      </c>
      <c r="D152" s="17">
        <v>149800</v>
      </c>
      <c r="E152" s="17">
        <v>149800</v>
      </c>
      <c r="F152" s="67">
        <v>187400</v>
      </c>
    </row>
    <row r="153" spans="2:10" x14ac:dyDescent="0.3">
      <c r="B153" s="62" t="s">
        <v>260</v>
      </c>
      <c r="C153" s="63"/>
      <c r="D153" s="148">
        <f>C152/D152</f>
        <v>1.2510013351134845</v>
      </c>
      <c r="E153" s="148">
        <f>C152/E152</f>
        <v>1.2510013351134845</v>
      </c>
      <c r="F153" s="149">
        <f>C152/F152</f>
        <v>1</v>
      </c>
    </row>
    <row r="154" spans="2:10" x14ac:dyDescent="0.3">
      <c r="B154" s="66" t="s">
        <v>542</v>
      </c>
      <c r="C154" s="17" t="s">
        <v>221</v>
      </c>
      <c r="D154" s="17" t="s">
        <v>221</v>
      </c>
      <c r="E154" s="17" t="s">
        <v>221</v>
      </c>
      <c r="F154" s="67" t="s">
        <v>222</v>
      </c>
    </row>
    <row r="155" spans="2:10" x14ac:dyDescent="0.3">
      <c r="B155" s="62" t="s">
        <v>253</v>
      </c>
      <c r="C155" s="17">
        <v>159800</v>
      </c>
      <c r="D155" s="17"/>
      <c r="E155" s="17"/>
      <c r="F155" s="67"/>
      <c r="G155" s="68" t="s">
        <v>241</v>
      </c>
      <c r="H155" s="21" t="s">
        <v>146</v>
      </c>
      <c r="I155" s="21" t="s">
        <v>256</v>
      </c>
    </row>
    <row r="156" spans="2:10" x14ac:dyDescent="0.3">
      <c r="B156" s="62" t="s">
        <v>262</v>
      </c>
      <c r="C156" s="63"/>
      <c r="D156" s="148">
        <v>1</v>
      </c>
      <c r="E156" s="148">
        <v>1</v>
      </c>
      <c r="F156" s="150">
        <v>1</v>
      </c>
      <c r="G156" s="20">
        <v>1</v>
      </c>
      <c r="H156" s="10">
        <v>-0.15</v>
      </c>
      <c r="I156" s="70">
        <f>I157*(1+H156)</f>
        <v>0.748</v>
      </c>
      <c r="J156" s="70"/>
    </row>
    <row r="157" spans="2:10" x14ac:dyDescent="0.3">
      <c r="B157" s="66" t="s">
        <v>263</v>
      </c>
      <c r="C157" s="16">
        <v>3</v>
      </c>
      <c r="D157" s="16">
        <v>3</v>
      </c>
      <c r="E157" s="16">
        <v>3</v>
      </c>
      <c r="F157" s="69">
        <v>1</v>
      </c>
      <c r="G157" s="20">
        <v>2</v>
      </c>
      <c r="H157" s="10">
        <v>-0.12</v>
      </c>
      <c r="I157" s="1">
        <f>I158*(1+H157)</f>
        <v>0.88</v>
      </c>
    </row>
    <row r="158" spans="2:10" x14ac:dyDescent="0.3">
      <c r="B158" s="62" t="s">
        <v>253</v>
      </c>
      <c r="C158" s="17">
        <v>1</v>
      </c>
      <c r="D158" s="17"/>
      <c r="E158" s="17"/>
      <c r="F158" s="151">
        <f>I156</f>
        <v>0.748</v>
      </c>
      <c r="G158" s="20">
        <v>3</v>
      </c>
      <c r="H158" s="10">
        <v>0</v>
      </c>
      <c r="I158" s="1">
        <v>1</v>
      </c>
    </row>
    <row r="159" spans="2:10" x14ac:dyDescent="0.3">
      <c r="B159" s="62" t="s">
        <v>264</v>
      </c>
      <c r="C159" s="63"/>
      <c r="D159" s="64">
        <v>1</v>
      </c>
      <c r="E159" s="64">
        <v>1</v>
      </c>
      <c r="F159" s="65">
        <f>C158/F158</f>
        <v>1.3368983957219251</v>
      </c>
    </row>
    <row r="160" spans="2:10" x14ac:dyDescent="0.3">
      <c r="B160" s="35" t="s">
        <v>265</v>
      </c>
      <c r="C160" s="17"/>
      <c r="D160" s="17">
        <f>D144*D147*D150*D153*D156*D159</f>
        <v>1.1093785424591278</v>
      </c>
      <c r="E160" s="17">
        <f>E144*E147*E150*E153*E156*E159</f>
        <v>1.1759412550066755</v>
      </c>
      <c r="F160" s="67">
        <f>F144*F147*F150*F153*F156*F159</f>
        <v>1.4270966174773791</v>
      </c>
    </row>
    <row r="161" spans="2:6" x14ac:dyDescent="0.3">
      <c r="B161" s="35" t="s">
        <v>266</v>
      </c>
      <c r="C161" s="17"/>
      <c r="D161" s="17">
        <v>145000</v>
      </c>
      <c r="E161" s="17">
        <v>130000</v>
      </c>
      <c r="F161" s="67">
        <v>120000</v>
      </c>
    </row>
    <row r="162" spans="2:6" x14ac:dyDescent="0.3">
      <c r="B162" s="35" t="s">
        <v>179</v>
      </c>
      <c r="C162" s="17"/>
      <c r="D162" s="17">
        <f>D160*D161</f>
        <v>160859.88865657354</v>
      </c>
      <c r="E162" s="17">
        <f>E160*E161</f>
        <v>152872.36315086781</v>
      </c>
      <c r="F162" s="67">
        <f>F160*F161</f>
        <v>171251.5940972855</v>
      </c>
    </row>
    <row r="163" spans="2:6" x14ac:dyDescent="0.3">
      <c r="B163" s="35" t="s">
        <v>267</v>
      </c>
      <c r="C163" s="17"/>
      <c r="D163" s="152">
        <f>1/3</f>
        <v>0.33333333333333331</v>
      </c>
      <c r="E163" s="153">
        <f>1/3</f>
        <v>0.33333333333333331</v>
      </c>
      <c r="F163" s="154">
        <f>1/3</f>
        <v>0.33333333333333331</v>
      </c>
    </row>
    <row r="164" spans="2:6" x14ac:dyDescent="0.3">
      <c r="B164" s="35"/>
      <c r="C164" s="17">
        <f>D164+E164+F164</f>
        <v>161661.28196824229</v>
      </c>
      <c r="D164" s="17">
        <f>D162*D163</f>
        <v>53619.96288552451</v>
      </c>
      <c r="E164" s="17">
        <f>E162*E163</f>
        <v>50957.4543836226</v>
      </c>
      <c r="F164" s="67">
        <f>F162*F163</f>
        <v>57083.864699095167</v>
      </c>
    </row>
    <row r="165" spans="2:6" x14ac:dyDescent="0.3">
      <c r="B165" s="35"/>
      <c r="C165" s="17" t="s">
        <v>268</v>
      </c>
      <c r="D165" s="17"/>
      <c r="E165" s="17"/>
      <c r="F165" s="67"/>
    </row>
    <row r="166" spans="2:6" x14ac:dyDescent="0.3">
      <c r="B166" s="35" t="s">
        <v>269</v>
      </c>
      <c r="C166" s="17">
        <f>AVERAGE(D162:F162)</f>
        <v>161661.28196824229</v>
      </c>
      <c r="D166" s="17"/>
      <c r="E166" s="17"/>
      <c r="F166" s="67"/>
    </row>
    <row r="167" spans="2:6" x14ac:dyDescent="0.3">
      <c r="B167" s="35" t="s">
        <v>665</v>
      </c>
      <c r="C167" s="2">
        <v>58</v>
      </c>
      <c r="D167" s="2"/>
      <c r="E167" s="2"/>
      <c r="F167" s="38"/>
    </row>
    <row r="168" spans="2:6" x14ac:dyDescent="0.3">
      <c r="B168" s="35" t="s">
        <v>80</v>
      </c>
      <c r="C168" s="2">
        <f>C166*C167</f>
        <v>9376354.3541580532</v>
      </c>
      <c r="D168" s="2"/>
      <c r="E168" s="2"/>
      <c r="F168" s="38"/>
    </row>
    <row r="169" spans="2:6" ht="19.5" thickBot="1" x14ac:dyDescent="0.35">
      <c r="B169" s="39" t="s">
        <v>270</v>
      </c>
      <c r="C169" s="86">
        <f>ROUND(C168,-4)</f>
        <v>9380000</v>
      </c>
      <c r="D169" s="40"/>
      <c r="E169" s="40"/>
      <c r="F169" s="41"/>
    </row>
  </sheetData>
  <mergeCells count="2">
    <mergeCell ref="B2:J2"/>
    <mergeCell ref="B89:J8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Титульный</vt:lpstr>
      <vt:lpstr>Сочетания клавиш</vt:lpstr>
      <vt:lpstr>Затратный</vt:lpstr>
      <vt:lpstr>Сравнительный</vt:lpstr>
      <vt:lpstr>Доходный</vt:lpstr>
      <vt:lpstr>Со звёздочкой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 Зумберг</dc:creator>
  <cp:lastModifiedBy>Алексей Зумберг</cp:lastModifiedBy>
  <dcterms:created xsi:type="dcterms:W3CDTF">2021-01-25T11:27:32Z</dcterms:created>
  <dcterms:modified xsi:type="dcterms:W3CDTF">2024-10-22T11:44:54Z</dcterms:modified>
</cp:coreProperties>
</file>